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PedroSanchezSentiment\Fecha2\"/>
    </mc:Choice>
  </mc:AlternateContent>
  <xr:revisionPtr revIDLastSave="0" documentId="13_ncr:1_{E29D837D-121B-4CAA-9D60-B968CC67B4E9}" xr6:coauthVersionLast="40" xr6:coauthVersionMax="40" xr10:uidLastSave="{00000000-0000-0000-0000-000000000000}"/>
  <bookViews>
    <workbookView xWindow="0" yWindow="0" windowWidth="23040" windowHeight="8412" xr2:uid="{00000000-000D-0000-FFFF-FFFF00000000}"/>
  </bookViews>
  <sheets>
    <sheet name="Pedro Sanchez langes -filterret"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478" i="3" l="1"/>
  <c r="K2478" i="3"/>
  <c r="E2478" i="3"/>
  <c r="B2478" i="3"/>
  <c r="U2477" i="3"/>
  <c r="K2477" i="3"/>
  <c r="E2477" i="3"/>
  <c r="B2477" i="3"/>
  <c r="U2476" i="3"/>
  <c r="K2476" i="3"/>
  <c r="E2476" i="3"/>
  <c r="B2476" i="3"/>
  <c r="U2475" i="3"/>
  <c r="K2475" i="3"/>
  <c r="E2475" i="3"/>
  <c r="B2475" i="3"/>
  <c r="U2474" i="3"/>
  <c r="K2474" i="3"/>
  <c r="E2474" i="3"/>
  <c r="B2474" i="3"/>
  <c r="U2473" i="3"/>
  <c r="K2473" i="3"/>
  <c r="E2473" i="3"/>
  <c r="B2473" i="3"/>
  <c r="U2472" i="3"/>
  <c r="K2472" i="3"/>
  <c r="E2472" i="3"/>
  <c r="B2472" i="3"/>
  <c r="U2471" i="3"/>
  <c r="K2471" i="3"/>
  <c r="E2471" i="3"/>
  <c r="B2471" i="3"/>
  <c r="U2470" i="3"/>
  <c r="K2470" i="3"/>
  <c r="E2470" i="3"/>
  <c r="B2470" i="3"/>
  <c r="U2469" i="3"/>
  <c r="K2469" i="3"/>
  <c r="E2469" i="3"/>
  <c r="B2469" i="3"/>
  <c r="U2468" i="3"/>
  <c r="K2468" i="3"/>
  <c r="E2468" i="3"/>
  <c r="B2468" i="3"/>
  <c r="U2467" i="3"/>
  <c r="K2467" i="3"/>
  <c r="E2467" i="3"/>
  <c r="B2467" i="3"/>
  <c r="U2466" i="3"/>
  <c r="K2466" i="3"/>
  <c r="E2466" i="3"/>
  <c r="B2466" i="3"/>
  <c r="U2465" i="3"/>
  <c r="K2465" i="3"/>
  <c r="E2465" i="3"/>
  <c r="B2465" i="3"/>
  <c r="U2464" i="3"/>
  <c r="K2464" i="3"/>
  <c r="E2464" i="3"/>
  <c r="B2464" i="3"/>
  <c r="U2463" i="3"/>
  <c r="K2463" i="3"/>
  <c r="E2463" i="3"/>
  <c r="B2463" i="3"/>
  <c r="U2462" i="3"/>
  <c r="K2462" i="3"/>
  <c r="E2462" i="3"/>
  <c r="B2462" i="3"/>
  <c r="U2461" i="3"/>
  <c r="K2461" i="3"/>
  <c r="E2461" i="3"/>
  <c r="B2461" i="3"/>
  <c r="U2460" i="3"/>
  <c r="K2460" i="3"/>
  <c r="E2460" i="3"/>
  <c r="B2460" i="3"/>
  <c r="U2459" i="3"/>
  <c r="K2459" i="3"/>
  <c r="E2459" i="3"/>
  <c r="B2459" i="3"/>
  <c r="U2458" i="3"/>
  <c r="K2458" i="3"/>
  <c r="E2458" i="3"/>
  <c r="B2458" i="3"/>
  <c r="U2457" i="3"/>
  <c r="K2457" i="3"/>
  <c r="E2457" i="3"/>
  <c r="B2457" i="3"/>
  <c r="U2456" i="3"/>
  <c r="K2456" i="3"/>
  <c r="E2456" i="3"/>
  <c r="B2456" i="3"/>
  <c r="U2455" i="3"/>
  <c r="K2455" i="3"/>
  <c r="E2455" i="3"/>
  <c r="B2455" i="3"/>
  <c r="U2454" i="3"/>
  <c r="K2454" i="3"/>
  <c r="E2454" i="3"/>
  <c r="B2454" i="3"/>
  <c r="U2453" i="3"/>
  <c r="K2453" i="3"/>
  <c r="E2453" i="3"/>
  <c r="B2453" i="3"/>
  <c r="U2452" i="3"/>
  <c r="K2452" i="3"/>
  <c r="E2452" i="3"/>
  <c r="B2452" i="3"/>
  <c r="U2451" i="3"/>
  <c r="K2451" i="3"/>
  <c r="E2451" i="3"/>
  <c r="B2451" i="3"/>
  <c r="U2450" i="3"/>
  <c r="K2450" i="3"/>
  <c r="E2450" i="3"/>
  <c r="B2450" i="3"/>
  <c r="U2449" i="3"/>
  <c r="K2449" i="3"/>
  <c r="E2449" i="3"/>
  <c r="B2449" i="3"/>
  <c r="U2448" i="3"/>
  <c r="K2448" i="3"/>
  <c r="E2448" i="3"/>
  <c r="B2448" i="3"/>
  <c r="U2447" i="3"/>
  <c r="K2447" i="3"/>
  <c r="E2447" i="3"/>
  <c r="B2447" i="3"/>
  <c r="U2446" i="3"/>
  <c r="K2446" i="3"/>
  <c r="E2446" i="3"/>
  <c r="B2446" i="3"/>
  <c r="U2445" i="3"/>
  <c r="K2445" i="3"/>
  <c r="E2445" i="3"/>
  <c r="B2445" i="3"/>
  <c r="U2444" i="3"/>
  <c r="K2444" i="3"/>
  <c r="E2444" i="3"/>
  <c r="B2444" i="3"/>
  <c r="U2443" i="3"/>
  <c r="K2443" i="3"/>
  <c r="E2443" i="3"/>
  <c r="B2443" i="3"/>
  <c r="U2442" i="3"/>
  <c r="K2442" i="3"/>
  <c r="E2442" i="3"/>
  <c r="B2442" i="3"/>
  <c r="U2441" i="3"/>
  <c r="K2441" i="3"/>
  <c r="E2441" i="3"/>
  <c r="B2441" i="3"/>
  <c r="U2440" i="3"/>
  <c r="K2440" i="3"/>
  <c r="E2440" i="3"/>
  <c r="B2440" i="3"/>
  <c r="U2439" i="3"/>
  <c r="K2439" i="3"/>
  <c r="E2439" i="3"/>
  <c r="B2439" i="3"/>
  <c r="U2438" i="3"/>
  <c r="K2438" i="3"/>
  <c r="E2438" i="3"/>
  <c r="B2438" i="3"/>
  <c r="U2437" i="3"/>
  <c r="K2437" i="3"/>
  <c r="E2437" i="3"/>
  <c r="B2437" i="3"/>
  <c r="U2436" i="3"/>
  <c r="K2436" i="3"/>
  <c r="E2436" i="3"/>
  <c r="B2436" i="3"/>
  <c r="U2435" i="3"/>
  <c r="K2435" i="3"/>
  <c r="E2435" i="3"/>
  <c r="B2435" i="3"/>
  <c r="U2434" i="3"/>
  <c r="K2434" i="3"/>
  <c r="E2434" i="3"/>
  <c r="B2434" i="3"/>
  <c r="U2433" i="3"/>
  <c r="K2433" i="3"/>
  <c r="E2433" i="3"/>
  <c r="B2433" i="3"/>
  <c r="U2432" i="3"/>
  <c r="K2432" i="3"/>
  <c r="E2432" i="3"/>
  <c r="B2432" i="3"/>
  <c r="U2431" i="3"/>
  <c r="K2431" i="3"/>
  <c r="E2431" i="3"/>
  <c r="B2431" i="3"/>
  <c r="U2430" i="3"/>
  <c r="K2430" i="3"/>
  <c r="E2430" i="3"/>
  <c r="B2430" i="3"/>
  <c r="U2429" i="3"/>
  <c r="K2429" i="3"/>
  <c r="E2429" i="3"/>
  <c r="B2429" i="3"/>
  <c r="U2428" i="3"/>
  <c r="K2428" i="3"/>
  <c r="E2428" i="3"/>
  <c r="B2428" i="3"/>
  <c r="U2427" i="3"/>
  <c r="K2427" i="3"/>
  <c r="E2427" i="3"/>
  <c r="B2427" i="3"/>
  <c r="U2426" i="3"/>
  <c r="K2426" i="3"/>
  <c r="E2426" i="3"/>
  <c r="B2426" i="3"/>
  <c r="U2425" i="3"/>
  <c r="K2425" i="3"/>
  <c r="E2425" i="3"/>
  <c r="B2425" i="3"/>
  <c r="U2424" i="3"/>
  <c r="K2424" i="3"/>
  <c r="E2424" i="3"/>
  <c r="B2424" i="3"/>
  <c r="U2423" i="3"/>
  <c r="K2423" i="3"/>
  <c r="E2423" i="3"/>
  <c r="B2423" i="3"/>
  <c r="U2422" i="3"/>
  <c r="K2422" i="3"/>
  <c r="E2422" i="3"/>
  <c r="B2422" i="3"/>
  <c r="U2421" i="3"/>
  <c r="K2421" i="3"/>
  <c r="E2421" i="3"/>
  <c r="B2421" i="3"/>
  <c r="U2420" i="3"/>
  <c r="K2420" i="3"/>
  <c r="E2420" i="3"/>
  <c r="B2420" i="3"/>
  <c r="U2419" i="3"/>
  <c r="K2419" i="3"/>
  <c r="E2419" i="3"/>
  <c r="B2419" i="3"/>
  <c r="U2418" i="3"/>
  <c r="K2418" i="3"/>
  <c r="E2418" i="3"/>
  <c r="B2418" i="3"/>
  <c r="U2417" i="3"/>
  <c r="K2417" i="3"/>
  <c r="E2417" i="3"/>
  <c r="B2417" i="3"/>
  <c r="U2416" i="3"/>
  <c r="K2416" i="3"/>
  <c r="E2416" i="3"/>
  <c r="B2416" i="3"/>
  <c r="U2415" i="3"/>
  <c r="K2415" i="3"/>
  <c r="E2415" i="3"/>
  <c r="B2415" i="3"/>
  <c r="U2414" i="3"/>
  <c r="K2414" i="3"/>
  <c r="E2414" i="3"/>
  <c r="B2414" i="3"/>
  <c r="U2413" i="3"/>
  <c r="K2413" i="3"/>
  <c r="E2413" i="3"/>
  <c r="B2413" i="3"/>
  <c r="U2412" i="3"/>
  <c r="K2412" i="3"/>
  <c r="E2412" i="3"/>
  <c r="B2412" i="3"/>
  <c r="U2411" i="3"/>
  <c r="K2411" i="3"/>
  <c r="E2411" i="3"/>
  <c r="B2411" i="3"/>
  <c r="U2410" i="3"/>
  <c r="K2410" i="3"/>
  <c r="E2410" i="3"/>
  <c r="B2410" i="3"/>
  <c r="U2409" i="3"/>
  <c r="K2409" i="3"/>
  <c r="E2409" i="3"/>
  <c r="B2409" i="3"/>
  <c r="U2408" i="3"/>
  <c r="K2408" i="3"/>
  <c r="E2408" i="3"/>
  <c r="B2408" i="3"/>
  <c r="U2407" i="3"/>
  <c r="K2407" i="3"/>
  <c r="E2407" i="3"/>
  <c r="B2407" i="3"/>
  <c r="U2406" i="3"/>
  <c r="K2406" i="3"/>
  <c r="E2406" i="3"/>
  <c r="B2406" i="3"/>
  <c r="U2405" i="3"/>
  <c r="K2405" i="3"/>
  <c r="E2405" i="3"/>
  <c r="B2405" i="3"/>
  <c r="U2404" i="3"/>
  <c r="K2404" i="3"/>
  <c r="E2404" i="3"/>
  <c r="B2404" i="3"/>
  <c r="U2403" i="3"/>
  <c r="K2403" i="3"/>
  <c r="E2403" i="3"/>
  <c r="B2403" i="3"/>
  <c r="U2402" i="3"/>
  <c r="K2402" i="3"/>
  <c r="E2402" i="3"/>
  <c r="B2402" i="3"/>
  <c r="U2401" i="3"/>
  <c r="K2401" i="3"/>
  <c r="E2401" i="3"/>
  <c r="B2401" i="3"/>
  <c r="K2400" i="3"/>
  <c r="E2400" i="3"/>
  <c r="B2400" i="3"/>
  <c r="U2399" i="3"/>
  <c r="K2399" i="3"/>
  <c r="E2399" i="3"/>
  <c r="B2399" i="3"/>
  <c r="U2398" i="3"/>
  <c r="K2398" i="3"/>
  <c r="E2398" i="3"/>
  <c r="B2398" i="3"/>
  <c r="U2397" i="3"/>
  <c r="K2397" i="3"/>
  <c r="E2397" i="3"/>
  <c r="B2397" i="3"/>
  <c r="U2396" i="3"/>
  <c r="K2396" i="3"/>
  <c r="E2396" i="3"/>
  <c r="B2396" i="3"/>
  <c r="U2395" i="3"/>
  <c r="K2395" i="3"/>
  <c r="E2395" i="3"/>
  <c r="B2395" i="3"/>
  <c r="U2394" i="3"/>
  <c r="K2394" i="3"/>
  <c r="E2394" i="3"/>
  <c r="B2394" i="3"/>
  <c r="U2393" i="3"/>
  <c r="K2393" i="3"/>
  <c r="E2393" i="3"/>
  <c r="B2393" i="3"/>
  <c r="U2392" i="3"/>
  <c r="K2392" i="3"/>
  <c r="E2392" i="3"/>
  <c r="B2392" i="3"/>
  <c r="U2391" i="3"/>
  <c r="K2391" i="3"/>
  <c r="E2391" i="3"/>
  <c r="B2391" i="3"/>
  <c r="U2390" i="3"/>
  <c r="K2390" i="3"/>
  <c r="E2390" i="3"/>
  <c r="B2390" i="3"/>
  <c r="U2389" i="3"/>
  <c r="K2389" i="3"/>
  <c r="E2389" i="3"/>
  <c r="B2389" i="3"/>
  <c r="U2388" i="3"/>
  <c r="K2388" i="3"/>
  <c r="E2388" i="3"/>
  <c r="B2388" i="3"/>
  <c r="U2387" i="3"/>
  <c r="K2387" i="3"/>
  <c r="E2387" i="3"/>
  <c r="B2387" i="3"/>
  <c r="U2386" i="3"/>
  <c r="K2386" i="3"/>
  <c r="E2386" i="3"/>
  <c r="B2386" i="3"/>
  <c r="U2385" i="3"/>
  <c r="K2385" i="3"/>
  <c r="E2385" i="3"/>
  <c r="B2385" i="3"/>
  <c r="U2384" i="3"/>
  <c r="K2384" i="3"/>
  <c r="E2384" i="3"/>
  <c r="B2384" i="3"/>
  <c r="U2383" i="3"/>
  <c r="K2383" i="3"/>
  <c r="E2383" i="3"/>
  <c r="B2383" i="3"/>
  <c r="U2382" i="3"/>
  <c r="K2382" i="3"/>
  <c r="E2382" i="3"/>
  <c r="B2382" i="3"/>
  <c r="U2381" i="3"/>
  <c r="K2381" i="3"/>
  <c r="E2381" i="3"/>
  <c r="B2381" i="3"/>
  <c r="U2380" i="3"/>
  <c r="K2380" i="3"/>
  <c r="E2380" i="3"/>
  <c r="B2380" i="3"/>
  <c r="U2379" i="3"/>
  <c r="K2379" i="3"/>
  <c r="E2379" i="3"/>
  <c r="B2379" i="3"/>
  <c r="U2378" i="3"/>
  <c r="K2378" i="3"/>
  <c r="E2378" i="3"/>
  <c r="B2378" i="3"/>
  <c r="U2377" i="3"/>
  <c r="K2377" i="3"/>
  <c r="E2377" i="3"/>
  <c r="B2377" i="3"/>
  <c r="U2376" i="3"/>
  <c r="K2376" i="3"/>
  <c r="E2376" i="3"/>
  <c r="B2376" i="3"/>
  <c r="U2375" i="3"/>
  <c r="K2375" i="3"/>
  <c r="E2375" i="3"/>
  <c r="B2375" i="3"/>
  <c r="U2374" i="3"/>
  <c r="K2374" i="3"/>
  <c r="E2374" i="3"/>
  <c r="B2374" i="3"/>
  <c r="U2373" i="3"/>
  <c r="K2373" i="3"/>
  <c r="E2373" i="3"/>
  <c r="B2373" i="3"/>
  <c r="U2372" i="3"/>
  <c r="K2372" i="3"/>
  <c r="E2372" i="3"/>
  <c r="B2372" i="3"/>
  <c r="U2371" i="3"/>
  <c r="K2371" i="3"/>
  <c r="E2371" i="3"/>
  <c r="B2371" i="3"/>
  <c r="U2370" i="3"/>
  <c r="K2370" i="3"/>
  <c r="E2370" i="3"/>
  <c r="B2370" i="3"/>
  <c r="U2369" i="3"/>
  <c r="K2369" i="3"/>
  <c r="E2369" i="3"/>
  <c r="B2369" i="3"/>
  <c r="U2368" i="3"/>
  <c r="K2368" i="3"/>
  <c r="E2368" i="3"/>
  <c r="B2368" i="3"/>
  <c r="U2367" i="3"/>
  <c r="K2367" i="3"/>
  <c r="E2367" i="3"/>
  <c r="B2367" i="3"/>
  <c r="U2366" i="3"/>
  <c r="K2366" i="3"/>
  <c r="E2366" i="3"/>
  <c r="B2366" i="3"/>
  <c r="U2365" i="3"/>
  <c r="K2365" i="3"/>
  <c r="E2365" i="3"/>
  <c r="B2365" i="3"/>
  <c r="U2364" i="3"/>
  <c r="K2364" i="3"/>
  <c r="E2364" i="3"/>
  <c r="B2364" i="3"/>
  <c r="U2363" i="3"/>
  <c r="K2363" i="3"/>
  <c r="E2363" i="3"/>
  <c r="B2363" i="3"/>
  <c r="U2362" i="3"/>
  <c r="K2362" i="3"/>
  <c r="E2362" i="3"/>
  <c r="B2362" i="3"/>
  <c r="U2361" i="3"/>
  <c r="K2361" i="3"/>
  <c r="E2361" i="3"/>
  <c r="B2361" i="3"/>
  <c r="U2360" i="3"/>
  <c r="K2360" i="3"/>
  <c r="E2360" i="3"/>
  <c r="B2360" i="3"/>
  <c r="U2359" i="3"/>
  <c r="K2359" i="3"/>
  <c r="E2359" i="3"/>
  <c r="B2359" i="3"/>
  <c r="U2358" i="3"/>
  <c r="K2358" i="3"/>
  <c r="E2358" i="3"/>
  <c r="B2358" i="3"/>
  <c r="U2357" i="3"/>
  <c r="K2357" i="3"/>
  <c r="E2357" i="3"/>
  <c r="B2357" i="3"/>
  <c r="U2356" i="3"/>
  <c r="K2356" i="3"/>
  <c r="E2356" i="3"/>
  <c r="B2356" i="3"/>
  <c r="U2355" i="3"/>
  <c r="K2355" i="3"/>
  <c r="E2355" i="3"/>
  <c r="B2355" i="3"/>
  <c r="U2354" i="3"/>
  <c r="K2354" i="3"/>
  <c r="E2354" i="3"/>
  <c r="B2354" i="3"/>
  <c r="U2353" i="3"/>
  <c r="K2353" i="3"/>
  <c r="E2353" i="3"/>
  <c r="B2353" i="3"/>
  <c r="U2352" i="3"/>
  <c r="K2352" i="3"/>
  <c r="E2352" i="3"/>
  <c r="B2352" i="3"/>
  <c r="U2351" i="3"/>
  <c r="K2351" i="3"/>
  <c r="E2351" i="3"/>
  <c r="B2351" i="3"/>
  <c r="U2350" i="3"/>
  <c r="K2350" i="3"/>
  <c r="E2350" i="3"/>
  <c r="B2350" i="3"/>
  <c r="U2349" i="3"/>
  <c r="K2349" i="3"/>
  <c r="E2349" i="3"/>
  <c r="B2349" i="3"/>
  <c r="U2348" i="3"/>
  <c r="K2348" i="3"/>
  <c r="E2348" i="3"/>
  <c r="B2348" i="3"/>
  <c r="U2347" i="3"/>
  <c r="K2347" i="3"/>
  <c r="E2347" i="3"/>
  <c r="B2347" i="3"/>
  <c r="U2346" i="3"/>
  <c r="K2346" i="3"/>
  <c r="E2346" i="3"/>
  <c r="B2346" i="3"/>
  <c r="U2345" i="3"/>
  <c r="K2345" i="3"/>
  <c r="E2345" i="3"/>
  <c r="B2345" i="3"/>
  <c r="U2344" i="3"/>
  <c r="K2344" i="3"/>
  <c r="E2344" i="3"/>
  <c r="B2344" i="3"/>
  <c r="U2343" i="3"/>
  <c r="K2343" i="3"/>
  <c r="E2343" i="3"/>
  <c r="B2343" i="3"/>
  <c r="U2342" i="3"/>
  <c r="K2342" i="3"/>
  <c r="E2342" i="3"/>
  <c r="B2342" i="3"/>
  <c r="U2341" i="3"/>
  <c r="K2341" i="3"/>
  <c r="E2341" i="3"/>
  <c r="B2341" i="3"/>
  <c r="U2340" i="3"/>
  <c r="K2340" i="3"/>
  <c r="E2340" i="3"/>
  <c r="B2340" i="3"/>
  <c r="U2339" i="3"/>
  <c r="K2339" i="3"/>
  <c r="E2339" i="3"/>
  <c r="B2339" i="3"/>
  <c r="U2338" i="3"/>
  <c r="K2338" i="3"/>
  <c r="E2338" i="3"/>
  <c r="B2338" i="3"/>
  <c r="U2337" i="3"/>
  <c r="K2337" i="3"/>
  <c r="E2337" i="3"/>
  <c r="B2337" i="3"/>
  <c r="U2336" i="3"/>
  <c r="K2336" i="3"/>
  <c r="E2336" i="3"/>
  <c r="B2336" i="3"/>
  <c r="U2335" i="3"/>
  <c r="K2335" i="3"/>
  <c r="E2335" i="3"/>
  <c r="B2335" i="3"/>
  <c r="U2334" i="3"/>
  <c r="K2334" i="3"/>
  <c r="E2334" i="3"/>
  <c r="B2334" i="3"/>
  <c r="U2333" i="3"/>
  <c r="K2333" i="3"/>
  <c r="E2333" i="3"/>
  <c r="B2333" i="3"/>
  <c r="U2332" i="3"/>
  <c r="K2332" i="3"/>
  <c r="E2332" i="3"/>
  <c r="B2332" i="3"/>
  <c r="U2331" i="3"/>
  <c r="K2331" i="3"/>
  <c r="E2331" i="3"/>
  <c r="B2331" i="3"/>
  <c r="U2330" i="3"/>
  <c r="K2330" i="3"/>
  <c r="E2330" i="3"/>
  <c r="B2330" i="3"/>
  <c r="U2329" i="3"/>
  <c r="K2329" i="3"/>
  <c r="E2329" i="3"/>
  <c r="B2329" i="3"/>
  <c r="U2328" i="3"/>
  <c r="K2328" i="3"/>
  <c r="E2328" i="3"/>
  <c r="B2328" i="3"/>
  <c r="U2327" i="3"/>
  <c r="K2327" i="3"/>
  <c r="E2327" i="3"/>
  <c r="B2327" i="3"/>
  <c r="U2326" i="3"/>
  <c r="K2326" i="3"/>
  <c r="E2326" i="3"/>
  <c r="B2326" i="3"/>
  <c r="U2325" i="3"/>
  <c r="K2325" i="3"/>
  <c r="E2325" i="3"/>
  <c r="B2325" i="3"/>
  <c r="U2324" i="3"/>
  <c r="K2324" i="3"/>
  <c r="E2324" i="3"/>
  <c r="B2324" i="3"/>
  <c r="U2323" i="3"/>
  <c r="K2323" i="3"/>
  <c r="E2323" i="3"/>
  <c r="B2323" i="3"/>
  <c r="U2322" i="3"/>
  <c r="K2322" i="3"/>
  <c r="E2322" i="3"/>
  <c r="B2322" i="3"/>
  <c r="U2321" i="3"/>
  <c r="K2321" i="3"/>
  <c r="E2321" i="3"/>
  <c r="B2321" i="3"/>
  <c r="U2320" i="3"/>
  <c r="K2320" i="3"/>
  <c r="E2320" i="3"/>
  <c r="B2320" i="3"/>
  <c r="U2319" i="3"/>
  <c r="K2319" i="3"/>
  <c r="E2319" i="3"/>
  <c r="B2319" i="3"/>
  <c r="U2318" i="3"/>
  <c r="K2318" i="3"/>
  <c r="E2318" i="3"/>
  <c r="B2318" i="3"/>
  <c r="U2317" i="3"/>
  <c r="K2317" i="3"/>
  <c r="E2317" i="3"/>
  <c r="B2317" i="3"/>
  <c r="U2316" i="3"/>
  <c r="K2316" i="3"/>
  <c r="E2316" i="3"/>
  <c r="B2316" i="3"/>
  <c r="U2315" i="3"/>
  <c r="K2315" i="3"/>
  <c r="E2315" i="3"/>
  <c r="B2315" i="3"/>
  <c r="U2314" i="3"/>
  <c r="K2314" i="3"/>
  <c r="E2314" i="3"/>
  <c r="B2314" i="3"/>
  <c r="U2313" i="3"/>
  <c r="K2313" i="3"/>
  <c r="E2313" i="3"/>
  <c r="B2313" i="3"/>
  <c r="U2312" i="3"/>
  <c r="K2312" i="3"/>
  <c r="E2312" i="3"/>
  <c r="B2312" i="3"/>
  <c r="U2311" i="3"/>
  <c r="K2311" i="3"/>
  <c r="E2311" i="3"/>
  <c r="B2311" i="3"/>
  <c r="U2310" i="3"/>
  <c r="K2310" i="3"/>
  <c r="E2310" i="3"/>
  <c r="B2310" i="3"/>
  <c r="U2309" i="3"/>
  <c r="K2309" i="3"/>
  <c r="E2309" i="3"/>
  <c r="B2309" i="3"/>
  <c r="U2308" i="3"/>
  <c r="K2308" i="3"/>
  <c r="E2308" i="3"/>
  <c r="B2308" i="3"/>
  <c r="U2307" i="3"/>
  <c r="K2307" i="3"/>
  <c r="E2307" i="3"/>
  <c r="B2307" i="3"/>
  <c r="U2306" i="3"/>
  <c r="K2306" i="3"/>
  <c r="E2306" i="3"/>
  <c r="B2306" i="3"/>
  <c r="U2305" i="3"/>
  <c r="K2305" i="3"/>
  <c r="E2305" i="3"/>
  <c r="B2305" i="3"/>
  <c r="U2304" i="3"/>
  <c r="K2304" i="3"/>
  <c r="E2304" i="3"/>
  <c r="B2304" i="3"/>
  <c r="U2303" i="3"/>
  <c r="K2303" i="3"/>
  <c r="E2303" i="3"/>
  <c r="B2303" i="3"/>
  <c r="U2302" i="3"/>
  <c r="K2302" i="3"/>
  <c r="E2302" i="3"/>
  <c r="B2302" i="3"/>
  <c r="U2301" i="3"/>
  <c r="K2301" i="3"/>
  <c r="E2301" i="3"/>
  <c r="B2301" i="3"/>
  <c r="U2300" i="3"/>
  <c r="K2300" i="3"/>
  <c r="E2300" i="3"/>
  <c r="B2300" i="3"/>
  <c r="U2299" i="3"/>
  <c r="K2299" i="3"/>
  <c r="E2299" i="3"/>
  <c r="B2299" i="3"/>
  <c r="U2298" i="3"/>
  <c r="K2298" i="3"/>
  <c r="E2298" i="3"/>
  <c r="B2298" i="3"/>
  <c r="U2297" i="3"/>
  <c r="K2297" i="3"/>
  <c r="E2297" i="3"/>
  <c r="B2297" i="3"/>
  <c r="U2296" i="3"/>
  <c r="K2296" i="3"/>
  <c r="E2296" i="3"/>
  <c r="B2296" i="3"/>
  <c r="U2295" i="3"/>
  <c r="K2295" i="3"/>
  <c r="E2295" i="3"/>
  <c r="B2295" i="3"/>
  <c r="U2294" i="3"/>
  <c r="K2294" i="3"/>
  <c r="E2294" i="3"/>
  <c r="B2294" i="3"/>
  <c r="U2293" i="3"/>
  <c r="K2293" i="3"/>
  <c r="E2293" i="3"/>
  <c r="B2293" i="3"/>
  <c r="U2292" i="3"/>
  <c r="K2292" i="3"/>
  <c r="E2292" i="3"/>
  <c r="B2292" i="3"/>
  <c r="U2291" i="3"/>
  <c r="K2291" i="3"/>
  <c r="E2291" i="3"/>
  <c r="B2291" i="3"/>
  <c r="U2290" i="3"/>
  <c r="K2290" i="3"/>
  <c r="E2290" i="3"/>
  <c r="B2290" i="3"/>
  <c r="U2289" i="3"/>
  <c r="K2289" i="3"/>
  <c r="E2289" i="3"/>
  <c r="B2289" i="3"/>
  <c r="U2288" i="3"/>
  <c r="K2288" i="3"/>
  <c r="E2288" i="3"/>
  <c r="B2288" i="3"/>
  <c r="U2287" i="3"/>
  <c r="K2287" i="3"/>
  <c r="E2287" i="3"/>
  <c r="B2287" i="3"/>
  <c r="U2286" i="3"/>
  <c r="K2286" i="3"/>
  <c r="E2286" i="3"/>
  <c r="B2286" i="3"/>
  <c r="U2285" i="3"/>
  <c r="K2285" i="3"/>
  <c r="E2285" i="3"/>
  <c r="B2285" i="3"/>
  <c r="U2284" i="3"/>
  <c r="K2284" i="3"/>
  <c r="E2284" i="3"/>
  <c r="B2284" i="3"/>
  <c r="U2283" i="3"/>
  <c r="K2283" i="3"/>
  <c r="E2283" i="3"/>
  <c r="B2283" i="3"/>
  <c r="U2282" i="3"/>
  <c r="K2282" i="3"/>
  <c r="E2282" i="3"/>
  <c r="B2282" i="3"/>
  <c r="U2281" i="3"/>
  <c r="K2281" i="3"/>
  <c r="E2281" i="3"/>
  <c r="B2281" i="3"/>
  <c r="U2280" i="3"/>
  <c r="K2280" i="3"/>
  <c r="E2280" i="3"/>
  <c r="B2280" i="3"/>
  <c r="U2279" i="3"/>
  <c r="K2279" i="3"/>
  <c r="E2279" i="3"/>
  <c r="B2279" i="3"/>
  <c r="U2278" i="3"/>
  <c r="K2278" i="3"/>
  <c r="E2278" i="3"/>
  <c r="B2278" i="3"/>
  <c r="U2277" i="3"/>
  <c r="K2277" i="3"/>
  <c r="E2277" i="3"/>
  <c r="B2277" i="3"/>
  <c r="U2276" i="3"/>
  <c r="K2276" i="3"/>
  <c r="E2276" i="3"/>
  <c r="B2276" i="3"/>
  <c r="U2275" i="3"/>
  <c r="K2275" i="3"/>
  <c r="E2275" i="3"/>
  <c r="B2275" i="3"/>
  <c r="U2274" i="3"/>
  <c r="K2274" i="3"/>
  <c r="E2274" i="3"/>
  <c r="B2274" i="3"/>
  <c r="U2273" i="3"/>
  <c r="K2273" i="3"/>
  <c r="E2273" i="3"/>
  <c r="B2273" i="3"/>
  <c r="U2272" i="3"/>
  <c r="K2272" i="3"/>
  <c r="E2272" i="3"/>
  <c r="B2272" i="3"/>
  <c r="U2271" i="3"/>
  <c r="K2271" i="3"/>
  <c r="E2271" i="3"/>
  <c r="B2271" i="3"/>
  <c r="U2270" i="3"/>
  <c r="K2270" i="3"/>
  <c r="E2270" i="3"/>
  <c r="B2270" i="3"/>
  <c r="U2269" i="3"/>
  <c r="K2269" i="3"/>
  <c r="E2269" i="3"/>
  <c r="B2269" i="3"/>
  <c r="U2268" i="3"/>
  <c r="K2268" i="3"/>
  <c r="E2268" i="3"/>
  <c r="B2268" i="3"/>
  <c r="U2267" i="3"/>
  <c r="K2267" i="3"/>
  <c r="E2267" i="3"/>
  <c r="B2267" i="3"/>
  <c r="U2266" i="3"/>
  <c r="K2266" i="3"/>
  <c r="E2266" i="3"/>
  <c r="B2266" i="3"/>
  <c r="U2265" i="3"/>
  <c r="K2265" i="3"/>
  <c r="E2265" i="3"/>
  <c r="B2265" i="3"/>
  <c r="U2264" i="3"/>
  <c r="K2264" i="3"/>
  <c r="E2264" i="3"/>
  <c r="B2264" i="3"/>
  <c r="U2263" i="3"/>
  <c r="K2263" i="3"/>
  <c r="E2263" i="3"/>
  <c r="B2263" i="3"/>
  <c r="U2262" i="3"/>
  <c r="K2262" i="3"/>
  <c r="E2262" i="3"/>
  <c r="B2262" i="3"/>
  <c r="U2261" i="3"/>
  <c r="K2261" i="3"/>
  <c r="E2261" i="3"/>
  <c r="B2261" i="3"/>
  <c r="U2260" i="3"/>
  <c r="K2260" i="3"/>
  <c r="E2260" i="3"/>
  <c r="B2260" i="3"/>
  <c r="U2259" i="3"/>
  <c r="K2259" i="3"/>
  <c r="E2259" i="3"/>
  <c r="B2259" i="3"/>
  <c r="U2258" i="3"/>
  <c r="K2258" i="3"/>
  <c r="E2258" i="3"/>
  <c r="B2258" i="3"/>
  <c r="U2257" i="3"/>
  <c r="K2257" i="3"/>
  <c r="E2257" i="3"/>
  <c r="B2257" i="3"/>
  <c r="U2256" i="3"/>
  <c r="K2256" i="3"/>
  <c r="E2256" i="3"/>
  <c r="B2256" i="3"/>
  <c r="U2255" i="3"/>
  <c r="K2255" i="3"/>
  <c r="E2255" i="3"/>
  <c r="B2255" i="3"/>
  <c r="U2254" i="3"/>
  <c r="K2254" i="3"/>
  <c r="E2254" i="3"/>
  <c r="B2254" i="3"/>
  <c r="U2253" i="3"/>
  <c r="K2253" i="3"/>
  <c r="E2253" i="3"/>
  <c r="B2253" i="3"/>
  <c r="U2252" i="3"/>
  <c r="K2252" i="3"/>
  <c r="E2252" i="3"/>
  <c r="B2252" i="3"/>
  <c r="U2251" i="3"/>
  <c r="K2251" i="3"/>
  <c r="E2251" i="3"/>
  <c r="B2251" i="3"/>
  <c r="K2250" i="3"/>
  <c r="E2250" i="3"/>
  <c r="B2250" i="3"/>
  <c r="K2249" i="3"/>
  <c r="E2249" i="3"/>
  <c r="B2249" i="3"/>
  <c r="U2248" i="3"/>
  <c r="K2248" i="3"/>
  <c r="E2248" i="3"/>
  <c r="B2248" i="3"/>
  <c r="U2247" i="3"/>
  <c r="K2247" i="3"/>
  <c r="E2247" i="3"/>
  <c r="B2247" i="3"/>
  <c r="U2246" i="3"/>
  <c r="K2246" i="3"/>
  <c r="E2246" i="3"/>
  <c r="B2246" i="3"/>
  <c r="U2245" i="3"/>
  <c r="K2245" i="3"/>
  <c r="E2245" i="3"/>
  <c r="B2245" i="3"/>
  <c r="U2244" i="3"/>
  <c r="K2244" i="3"/>
  <c r="E2244" i="3"/>
  <c r="B2244" i="3"/>
  <c r="K2243" i="3"/>
  <c r="E2243" i="3"/>
  <c r="B2243" i="3"/>
  <c r="U2242" i="3"/>
  <c r="K2242" i="3"/>
  <c r="E2242" i="3"/>
  <c r="B2242" i="3"/>
  <c r="U2241" i="3"/>
  <c r="K2241" i="3"/>
  <c r="E2241" i="3"/>
  <c r="B2241" i="3"/>
  <c r="U2240" i="3"/>
  <c r="K2240" i="3"/>
  <c r="E2240" i="3"/>
  <c r="B2240" i="3"/>
  <c r="U2239" i="3"/>
  <c r="K2239" i="3"/>
  <c r="E2239" i="3"/>
  <c r="B2239" i="3"/>
  <c r="U2238" i="3"/>
  <c r="K2238" i="3"/>
  <c r="E2238" i="3"/>
  <c r="B2238" i="3"/>
  <c r="U2237" i="3"/>
  <c r="K2237" i="3"/>
  <c r="E2237" i="3"/>
  <c r="B2237" i="3"/>
  <c r="U2236" i="3"/>
  <c r="K2236" i="3"/>
  <c r="E2236" i="3"/>
  <c r="B2236" i="3"/>
  <c r="U2235" i="3"/>
  <c r="K2235" i="3"/>
  <c r="E2235" i="3"/>
  <c r="B2235" i="3"/>
  <c r="U2234" i="3"/>
  <c r="K2234" i="3"/>
  <c r="E2234" i="3"/>
  <c r="B2234" i="3"/>
  <c r="U2233" i="3"/>
  <c r="K2233" i="3"/>
  <c r="E2233" i="3"/>
  <c r="B2233" i="3"/>
  <c r="U2232" i="3"/>
  <c r="K2232" i="3"/>
  <c r="E2232" i="3"/>
  <c r="B2232" i="3"/>
  <c r="U2231" i="3"/>
  <c r="K2231" i="3"/>
  <c r="E2231" i="3"/>
  <c r="B2231" i="3"/>
  <c r="U2230" i="3"/>
  <c r="K2230" i="3"/>
  <c r="E2230" i="3"/>
  <c r="B2230" i="3"/>
  <c r="U2229" i="3"/>
  <c r="K2229" i="3"/>
  <c r="E2229" i="3"/>
  <c r="B2229" i="3"/>
  <c r="U2228" i="3"/>
  <c r="K2228" i="3"/>
  <c r="E2228" i="3"/>
  <c r="B2228" i="3"/>
  <c r="U2227" i="3"/>
  <c r="K2227" i="3"/>
  <c r="E2227" i="3"/>
  <c r="B2227" i="3"/>
  <c r="U2226" i="3"/>
  <c r="K2226" i="3"/>
  <c r="E2226" i="3"/>
  <c r="B2226" i="3"/>
  <c r="U2225" i="3"/>
  <c r="K2225" i="3"/>
  <c r="E2225" i="3"/>
  <c r="B2225" i="3"/>
  <c r="U2224" i="3"/>
  <c r="K2224" i="3"/>
  <c r="E2224" i="3"/>
  <c r="B2224" i="3"/>
  <c r="U2223" i="3"/>
  <c r="K2223" i="3"/>
  <c r="E2223" i="3"/>
  <c r="B2223" i="3"/>
  <c r="U2222" i="3"/>
  <c r="K2222" i="3"/>
  <c r="E2222" i="3"/>
  <c r="B2222" i="3"/>
  <c r="U2221" i="3"/>
  <c r="K2221" i="3"/>
  <c r="E2221" i="3"/>
  <c r="B2221" i="3"/>
  <c r="U2220" i="3"/>
  <c r="K2220" i="3"/>
  <c r="E2220" i="3"/>
  <c r="B2220" i="3"/>
  <c r="U2219" i="3"/>
  <c r="K2219" i="3"/>
  <c r="E2219" i="3"/>
  <c r="B2219" i="3"/>
  <c r="U2218" i="3"/>
  <c r="K2218" i="3"/>
  <c r="E2218" i="3"/>
  <c r="B2218" i="3"/>
  <c r="U2217" i="3"/>
  <c r="K2217" i="3"/>
  <c r="E2217" i="3"/>
  <c r="B2217" i="3"/>
  <c r="U2216" i="3"/>
  <c r="K2216" i="3"/>
  <c r="E2216" i="3"/>
  <c r="B2216" i="3"/>
  <c r="U2215" i="3"/>
  <c r="K2215" i="3"/>
  <c r="E2215" i="3"/>
  <c r="B2215" i="3"/>
  <c r="U2214" i="3"/>
  <c r="K2214" i="3"/>
  <c r="E2214" i="3"/>
  <c r="B2214" i="3"/>
  <c r="U2213" i="3"/>
  <c r="K2213" i="3"/>
  <c r="E2213" i="3"/>
  <c r="B2213" i="3"/>
  <c r="K2212" i="3"/>
  <c r="E2212" i="3"/>
  <c r="B2212" i="3"/>
  <c r="U2211" i="3"/>
  <c r="K2211" i="3"/>
  <c r="E2211" i="3"/>
  <c r="B2211" i="3"/>
  <c r="U2210" i="3"/>
  <c r="K2210" i="3"/>
  <c r="E2210" i="3"/>
  <c r="B2210" i="3"/>
  <c r="U2209" i="3"/>
  <c r="K2209" i="3"/>
  <c r="E2209" i="3"/>
  <c r="B2209" i="3"/>
  <c r="U2208" i="3"/>
  <c r="K2208" i="3"/>
  <c r="E2208" i="3"/>
  <c r="B2208" i="3"/>
  <c r="U2207" i="3"/>
  <c r="K2207" i="3"/>
  <c r="E2207" i="3"/>
  <c r="B2207" i="3"/>
  <c r="U2206" i="3"/>
  <c r="K2206" i="3"/>
  <c r="E2206" i="3"/>
  <c r="B2206" i="3"/>
  <c r="U2205" i="3"/>
  <c r="K2205" i="3"/>
  <c r="E2205" i="3"/>
  <c r="B2205" i="3"/>
  <c r="U2204" i="3"/>
  <c r="K2204" i="3"/>
  <c r="E2204" i="3"/>
  <c r="B2204" i="3"/>
  <c r="U2203" i="3"/>
  <c r="K2203" i="3"/>
  <c r="E2203" i="3"/>
  <c r="B2203" i="3"/>
  <c r="U2202" i="3"/>
  <c r="K2202" i="3"/>
  <c r="E2202" i="3"/>
  <c r="B2202" i="3"/>
  <c r="U2201" i="3"/>
  <c r="K2201" i="3"/>
  <c r="E2201" i="3"/>
  <c r="B2201" i="3"/>
  <c r="U2200" i="3"/>
  <c r="K2200" i="3"/>
  <c r="E2200" i="3"/>
  <c r="B2200" i="3"/>
  <c r="U2199" i="3"/>
  <c r="K2199" i="3"/>
  <c r="E2199" i="3"/>
  <c r="B2199" i="3"/>
  <c r="U2198" i="3"/>
  <c r="K2198" i="3"/>
  <c r="E2198" i="3"/>
  <c r="B2198" i="3"/>
  <c r="U2197" i="3"/>
  <c r="K2197" i="3"/>
  <c r="E2197" i="3"/>
  <c r="B2197" i="3"/>
  <c r="U2196" i="3"/>
  <c r="K2196" i="3"/>
  <c r="E2196" i="3"/>
  <c r="B2196" i="3"/>
  <c r="K2195" i="3"/>
  <c r="E2195" i="3"/>
  <c r="B2195" i="3"/>
  <c r="U2194" i="3"/>
  <c r="K2194" i="3"/>
  <c r="E2194" i="3"/>
  <c r="B2194" i="3"/>
  <c r="U2193" i="3"/>
  <c r="K2193" i="3"/>
  <c r="E2193" i="3"/>
  <c r="B2193" i="3"/>
  <c r="U2192" i="3"/>
  <c r="K2192" i="3"/>
  <c r="E2192" i="3"/>
  <c r="B2192" i="3"/>
  <c r="U2191" i="3"/>
  <c r="K2191" i="3"/>
  <c r="E2191" i="3"/>
  <c r="B2191" i="3"/>
  <c r="U2190" i="3"/>
  <c r="K2190" i="3"/>
  <c r="E2190" i="3"/>
  <c r="B2190" i="3"/>
  <c r="U2189" i="3"/>
  <c r="K2189" i="3"/>
  <c r="E2189" i="3"/>
  <c r="B2189" i="3"/>
  <c r="U2188" i="3"/>
  <c r="K2188" i="3"/>
  <c r="E2188" i="3"/>
  <c r="B2188" i="3"/>
  <c r="U2187" i="3"/>
  <c r="K2187" i="3"/>
  <c r="E2187" i="3"/>
  <c r="B2187" i="3"/>
  <c r="U2186" i="3"/>
  <c r="K2186" i="3"/>
  <c r="E2186" i="3"/>
  <c r="B2186" i="3"/>
  <c r="U2185" i="3"/>
  <c r="K2185" i="3"/>
  <c r="E2185" i="3"/>
  <c r="B2185" i="3"/>
  <c r="U2184" i="3"/>
  <c r="K2184" i="3"/>
  <c r="E2184" i="3"/>
  <c r="B2184" i="3"/>
  <c r="U2183" i="3"/>
  <c r="K2183" i="3"/>
  <c r="E2183" i="3"/>
  <c r="B2183" i="3"/>
  <c r="U2182" i="3"/>
  <c r="K2182" i="3"/>
  <c r="E2182" i="3"/>
  <c r="B2182" i="3"/>
  <c r="U2181" i="3"/>
  <c r="K2181" i="3"/>
  <c r="E2181" i="3"/>
  <c r="B2181" i="3"/>
  <c r="U2180" i="3"/>
  <c r="K2180" i="3"/>
  <c r="E2180" i="3"/>
  <c r="B2180" i="3"/>
  <c r="U2179" i="3"/>
  <c r="K2179" i="3"/>
  <c r="E2179" i="3"/>
  <c r="B2179" i="3"/>
  <c r="U2178" i="3"/>
  <c r="K2178" i="3"/>
  <c r="E2178" i="3"/>
  <c r="B2178" i="3"/>
  <c r="U2177" i="3"/>
  <c r="K2177" i="3"/>
  <c r="E2177" i="3"/>
  <c r="B2177" i="3"/>
  <c r="U2176" i="3"/>
  <c r="K2176" i="3"/>
  <c r="E2176" i="3"/>
  <c r="B2176" i="3"/>
  <c r="U2175" i="3"/>
  <c r="K2175" i="3"/>
  <c r="E2175" i="3"/>
  <c r="B2175" i="3"/>
  <c r="U2174" i="3"/>
  <c r="K2174" i="3"/>
  <c r="E2174" i="3"/>
  <c r="B2174" i="3"/>
  <c r="U2173" i="3"/>
  <c r="K2173" i="3"/>
  <c r="E2173" i="3"/>
  <c r="B2173" i="3"/>
  <c r="U2172" i="3"/>
  <c r="K2172" i="3"/>
  <c r="E2172" i="3"/>
  <c r="B2172" i="3"/>
  <c r="U2171" i="3"/>
  <c r="K2171" i="3"/>
  <c r="E2171" i="3"/>
  <c r="B2171" i="3"/>
  <c r="U2170" i="3"/>
  <c r="K2170" i="3"/>
  <c r="E2170" i="3"/>
  <c r="B2170" i="3"/>
  <c r="U2169" i="3"/>
  <c r="K2169" i="3"/>
  <c r="E2169" i="3"/>
  <c r="B2169" i="3"/>
  <c r="U2168" i="3"/>
  <c r="K2168" i="3"/>
  <c r="E2168" i="3"/>
  <c r="B2168" i="3"/>
  <c r="U2167" i="3"/>
  <c r="K2167" i="3"/>
  <c r="E2167" i="3"/>
  <c r="B2167" i="3"/>
  <c r="U2166" i="3"/>
  <c r="K2166" i="3"/>
  <c r="E2166" i="3"/>
  <c r="B2166" i="3"/>
  <c r="U2165" i="3"/>
  <c r="K2165" i="3"/>
  <c r="E2165" i="3"/>
  <c r="B2165" i="3"/>
  <c r="U2164" i="3"/>
  <c r="K2164" i="3"/>
  <c r="E2164" i="3"/>
  <c r="B2164" i="3"/>
  <c r="U2163" i="3"/>
  <c r="K2163" i="3"/>
  <c r="E2163" i="3"/>
  <c r="B2163" i="3"/>
  <c r="U2162" i="3"/>
  <c r="K2162" i="3"/>
  <c r="E2162" i="3"/>
  <c r="B2162" i="3"/>
  <c r="U2161" i="3"/>
  <c r="K2161" i="3"/>
  <c r="E2161" i="3"/>
  <c r="B2161" i="3"/>
  <c r="U2160" i="3"/>
  <c r="K2160" i="3"/>
  <c r="E2160" i="3"/>
  <c r="B2160" i="3"/>
  <c r="U2159" i="3"/>
  <c r="K2159" i="3"/>
  <c r="E2159" i="3"/>
  <c r="B2159" i="3"/>
  <c r="U2158" i="3"/>
  <c r="K2158" i="3"/>
  <c r="E2158" i="3"/>
  <c r="B2158" i="3"/>
  <c r="U2157" i="3"/>
  <c r="K2157" i="3"/>
  <c r="E2157" i="3"/>
  <c r="B2157" i="3"/>
  <c r="U2156" i="3"/>
  <c r="K2156" i="3"/>
  <c r="E2156" i="3"/>
  <c r="B2156" i="3"/>
  <c r="U2155" i="3"/>
  <c r="K2155" i="3"/>
  <c r="E2155" i="3"/>
  <c r="B2155" i="3"/>
  <c r="U2154" i="3"/>
  <c r="K2154" i="3"/>
  <c r="E2154" i="3"/>
  <c r="B2154" i="3"/>
  <c r="U2153" i="3"/>
  <c r="K2153" i="3"/>
  <c r="E2153" i="3"/>
  <c r="B2153" i="3"/>
  <c r="U2152" i="3"/>
  <c r="K2152" i="3"/>
  <c r="E2152" i="3"/>
  <c r="B2152" i="3"/>
  <c r="U2151" i="3"/>
  <c r="K2151" i="3"/>
  <c r="E2151" i="3"/>
  <c r="B2151" i="3"/>
  <c r="U2150" i="3"/>
  <c r="K2150" i="3"/>
  <c r="E2150" i="3"/>
  <c r="B2150" i="3"/>
  <c r="U2149" i="3"/>
  <c r="K2149" i="3"/>
  <c r="E2149" i="3"/>
  <c r="B2149" i="3"/>
  <c r="U2148" i="3"/>
  <c r="K2148" i="3"/>
  <c r="E2148" i="3"/>
  <c r="B2148" i="3"/>
  <c r="U2147" i="3"/>
  <c r="K2147" i="3"/>
  <c r="E2147" i="3"/>
  <c r="B2147" i="3"/>
  <c r="U2146" i="3"/>
  <c r="K2146" i="3"/>
  <c r="E2146" i="3"/>
  <c r="B2146" i="3"/>
  <c r="U2145" i="3"/>
  <c r="K2145" i="3"/>
  <c r="E2145" i="3"/>
  <c r="B2145" i="3"/>
  <c r="U2144" i="3"/>
  <c r="K2144" i="3"/>
  <c r="E2144" i="3"/>
  <c r="B2144" i="3"/>
  <c r="U2143" i="3"/>
  <c r="K2143" i="3"/>
  <c r="E2143" i="3"/>
  <c r="B2143" i="3"/>
  <c r="U2142" i="3"/>
  <c r="K2142" i="3"/>
  <c r="E2142" i="3"/>
  <c r="B2142" i="3"/>
  <c r="U2141" i="3"/>
  <c r="K2141" i="3"/>
  <c r="E2141" i="3"/>
  <c r="B2141" i="3"/>
  <c r="U2140" i="3"/>
  <c r="K2140" i="3"/>
  <c r="E2140" i="3"/>
  <c r="B2140" i="3"/>
  <c r="U2139" i="3"/>
  <c r="K2139" i="3"/>
  <c r="E2139" i="3"/>
  <c r="B2139" i="3"/>
  <c r="U2138" i="3"/>
  <c r="K2138" i="3"/>
  <c r="E2138" i="3"/>
  <c r="B2138" i="3"/>
  <c r="U2137" i="3"/>
  <c r="K2137" i="3"/>
  <c r="E2137" i="3"/>
  <c r="B2137" i="3"/>
  <c r="U2136" i="3"/>
  <c r="K2136" i="3"/>
  <c r="E2136" i="3"/>
  <c r="B2136" i="3"/>
  <c r="U2135" i="3"/>
  <c r="K2135" i="3"/>
  <c r="E2135" i="3"/>
  <c r="B2135" i="3"/>
  <c r="U2134" i="3"/>
  <c r="K2134" i="3"/>
  <c r="E2134" i="3"/>
  <c r="B2134" i="3"/>
  <c r="U2133" i="3"/>
  <c r="K2133" i="3"/>
  <c r="E2133" i="3"/>
  <c r="B2133" i="3"/>
  <c r="U2132" i="3"/>
  <c r="K2132" i="3"/>
  <c r="E2132" i="3"/>
  <c r="B2132" i="3"/>
  <c r="U2131" i="3"/>
  <c r="K2131" i="3"/>
  <c r="E2131" i="3"/>
  <c r="B2131" i="3"/>
  <c r="U2130" i="3"/>
  <c r="K2130" i="3"/>
  <c r="E2130" i="3"/>
  <c r="B2130" i="3"/>
  <c r="U2129" i="3"/>
  <c r="K2129" i="3"/>
  <c r="E2129" i="3"/>
  <c r="B2129" i="3"/>
  <c r="U2128" i="3"/>
  <c r="K2128" i="3"/>
  <c r="E2128" i="3"/>
  <c r="B2128" i="3"/>
  <c r="U2127" i="3"/>
  <c r="K2127" i="3"/>
  <c r="E2127" i="3"/>
  <c r="B2127" i="3"/>
  <c r="U2126" i="3"/>
  <c r="K2126" i="3"/>
  <c r="E2126" i="3"/>
  <c r="B2126" i="3"/>
  <c r="U2125" i="3"/>
  <c r="K2125" i="3"/>
  <c r="E2125" i="3"/>
  <c r="B2125" i="3"/>
  <c r="U2124" i="3"/>
  <c r="K2124" i="3"/>
  <c r="E2124" i="3"/>
  <c r="B2124" i="3"/>
  <c r="U2123" i="3"/>
  <c r="K2123" i="3"/>
  <c r="E2123" i="3"/>
  <c r="B2123" i="3"/>
  <c r="U2122" i="3"/>
  <c r="K2122" i="3"/>
  <c r="E2122" i="3"/>
  <c r="B2122" i="3"/>
  <c r="U2121" i="3"/>
  <c r="K2121" i="3"/>
  <c r="E2121" i="3"/>
  <c r="B2121" i="3"/>
  <c r="U2120" i="3"/>
  <c r="K2120" i="3"/>
  <c r="E2120" i="3"/>
  <c r="B2120" i="3"/>
  <c r="U2119" i="3"/>
  <c r="K2119" i="3"/>
  <c r="E2119" i="3"/>
  <c r="B2119" i="3"/>
  <c r="U2118" i="3"/>
  <c r="K2118" i="3"/>
  <c r="E2118" i="3"/>
  <c r="B2118" i="3"/>
  <c r="U2117" i="3"/>
  <c r="K2117" i="3"/>
  <c r="E2117" i="3"/>
  <c r="B2117" i="3"/>
  <c r="K2116" i="3"/>
  <c r="E2116" i="3"/>
  <c r="B2116" i="3"/>
  <c r="U2115" i="3"/>
  <c r="K2115" i="3"/>
  <c r="E2115" i="3"/>
  <c r="B2115" i="3"/>
  <c r="U2114" i="3"/>
  <c r="K2114" i="3"/>
  <c r="E2114" i="3"/>
  <c r="B2114" i="3"/>
  <c r="U2113" i="3"/>
  <c r="K2113" i="3"/>
  <c r="E2113" i="3"/>
  <c r="B2113" i="3"/>
  <c r="U2112" i="3"/>
  <c r="K2112" i="3"/>
  <c r="E2112" i="3"/>
  <c r="B2112" i="3"/>
  <c r="U2111" i="3"/>
  <c r="K2111" i="3"/>
  <c r="E2111" i="3"/>
  <c r="B2111" i="3"/>
  <c r="U2110" i="3"/>
  <c r="K2110" i="3"/>
  <c r="E2110" i="3"/>
  <c r="B2110" i="3"/>
  <c r="U2109" i="3"/>
  <c r="K2109" i="3"/>
  <c r="E2109" i="3"/>
  <c r="B2109" i="3"/>
  <c r="U2108" i="3"/>
  <c r="K2108" i="3"/>
  <c r="E2108" i="3"/>
  <c r="B2108" i="3"/>
  <c r="U2107" i="3"/>
  <c r="K2107" i="3"/>
  <c r="E2107" i="3"/>
  <c r="B2107" i="3"/>
  <c r="U2106" i="3"/>
  <c r="K2106" i="3"/>
  <c r="E2106" i="3"/>
  <c r="B2106" i="3"/>
  <c r="U2105" i="3"/>
  <c r="K2105" i="3"/>
  <c r="E2105" i="3"/>
  <c r="B2105" i="3"/>
  <c r="U2104" i="3"/>
  <c r="K2104" i="3"/>
  <c r="E2104" i="3"/>
  <c r="B2104" i="3"/>
  <c r="U2103" i="3"/>
  <c r="K2103" i="3"/>
  <c r="E2103" i="3"/>
  <c r="B2103" i="3"/>
  <c r="U2102" i="3"/>
  <c r="K2102" i="3"/>
  <c r="E2102" i="3"/>
  <c r="B2102" i="3"/>
  <c r="U2101" i="3"/>
  <c r="K2101" i="3"/>
  <c r="E2101" i="3"/>
  <c r="B2101" i="3"/>
  <c r="U2100" i="3"/>
  <c r="K2100" i="3"/>
  <c r="E2100" i="3"/>
  <c r="B2100" i="3"/>
  <c r="U2099" i="3"/>
  <c r="K2099" i="3"/>
  <c r="E2099" i="3"/>
  <c r="B2099" i="3"/>
  <c r="U2098" i="3"/>
  <c r="K2098" i="3"/>
  <c r="E2098" i="3"/>
  <c r="B2098" i="3"/>
  <c r="U2097" i="3"/>
  <c r="K2097" i="3"/>
  <c r="E2097" i="3"/>
  <c r="B2097" i="3"/>
  <c r="U2096" i="3"/>
  <c r="K2096" i="3"/>
  <c r="E2096" i="3"/>
  <c r="B2096" i="3"/>
  <c r="U2095" i="3"/>
  <c r="K2095" i="3"/>
  <c r="E2095" i="3"/>
  <c r="B2095" i="3"/>
  <c r="U2094" i="3"/>
  <c r="K2094" i="3"/>
  <c r="E2094" i="3"/>
  <c r="B2094" i="3"/>
  <c r="U2093" i="3"/>
  <c r="K2093" i="3"/>
  <c r="E2093" i="3"/>
  <c r="B2093" i="3"/>
  <c r="U2092" i="3"/>
  <c r="K2092" i="3"/>
  <c r="E2092" i="3"/>
  <c r="B2092" i="3"/>
  <c r="U2091" i="3"/>
  <c r="K2091" i="3"/>
  <c r="E2091" i="3"/>
  <c r="B2091" i="3"/>
  <c r="U2090" i="3"/>
  <c r="K2090" i="3"/>
  <c r="E2090" i="3"/>
  <c r="B2090" i="3"/>
  <c r="U2089" i="3"/>
  <c r="K2089" i="3"/>
  <c r="E2089" i="3"/>
  <c r="B2089" i="3"/>
  <c r="U2088" i="3"/>
  <c r="K2088" i="3"/>
  <c r="E2088" i="3"/>
  <c r="B2088" i="3"/>
  <c r="U2087" i="3"/>
  <c r="K2087" i="3"/>
  <c r="E2087" i="3"/>
  <c r="B2087" i="3"/>
  <c r="K2086" i="3"/>
  <c r="E2086" i="3"/>
  <c r="B2086" i="3"/>
  <c r="U2085" i="3"/>
  <c r="K2085" i="3"/>
  <c r="E2085" i="3"/>
  <c r="B2085" i="3"/>
  <c r="U2084" i="3"/>
  <c r="K2084" i="3"/>
  <c r="E2084" i="3"/>
  <c r="B2084" i="3"/>
  <c r="U2083" i="3"/>
  <c r="K2083" i="3"/>
  <c r="E2083" i="3"/>
  <c r="B2083" i="3"/>
  <c r="U2082" i="3"/>
  <c r="K2082" i="3"/>
  <c r="E2082" i="3"/>
  <c r="B2082" i="3"/>
  <c r="U2081" i="3"/>
  <c r="K2081" i="3"/>
  <c r="E2081" i="3"/>
  <c r="B2081" i="3"/>
  <c r="U2080" i="3"/>
  <c r="K2080" i="3"/>
  <c r="E2080" i="3"/>
  <c r="B2080" i="3"/>
  <c r="U2079" i="3"/>
  <c r="K2079" i="3"/>
  <c r="E2079" i="3"/>
  <c r="B2079" i="3"/>
  <c r="U2078" i="3"/>
  <c r="K2078" i="3"/>
  <c r="E2078" i="3"/>
  <c r="B2078" i="3"/>
  <c r="U2077" i="3"/>
  <c r="K2077" i="3"/>
  <c r="E2077" i="3"/>
  <c r="B2077" i="3"/>
  <c r="U2076" i="3"/>
  <c r="K2076" i="3"/>
  <c r="E2076" i="3"/>
  <c r="B2076" i="3"/>
  <c r="U2075" i="3"/>
  <c r="K2075" i="3"/>
  <c r="E2075" i="3"/>
  <c r="B2075" i="3"/>
  <c r="U2074" i="3"/>
  <c r="K2074" i="3"/>
  <c r="E2074" i="3"/>
  <c r="B2074" i="3"/>
  <c r="U2073" i="3"/>
  <c r="K2073" i="3"/>
  <c r="E2073" i="3"/>
  <c r="B2073" i="3"/>
  <c r="U2072" i="3"/>
  <c r="K2072" i="3"/>
  <c r="E2072" i="3"/>
  <c r="B2072" i="3"/>
  <c r="U2071" i="3"/>
  <c r="K2071" i="3"/>
  <c r="E2071" i="3"/>
  <c r="B2071" i="3"/>
  <c r="U2070" i="3"/>
  <c r="K2070" i="3"/>
  <c r="E2070" i="3"/>
  <c r="B2070" i="3"/>
  <c r="U2069" i="3"/>
  <c r="K2069" i="3"/>
  <c r="E2069" i="3"/>
  <c r="B2069" i="3"/>
  <c r="U2068" i="3"/>
  <c r="K2068" i="3"/>
  <c r="E2068" i="3"/>
  <c r="B2068" i="3"/>
  <c r="U2067" i="3"/>
  <c r="K2067" i="3"/>
  <c r="E2067" i="3"/>
  <c r="B2067" i="3"/>
  <c r="U2066" i="3"/>
  <c r="K2066" i="3"/>
  <c r="E2066" i="3"/>
  <c r="B2066" i="3"/>
  <c r="U2065" i="3"/>
  <c r="K2065" i="3"/>
  <c r="E2065" i="3"/>
  <c r="B2065" i="3"/>
  <c r="U2064" i="3"/>
  <c r="K2064" i="3"/>
  <c r="E2064" i="3"/>
  <c r="B2064" i="3"/>
  <c r="U2063" i="3"/>
  <c r="K2063" i="3"/>
  <c r="E2063" i="3"/>
  <c r="B2063" i="3"/>
  <c r="U2062" i="3"/>
  <c r="K2062" i="3"/>
  <c r="E2062" i="3"/>
  <c r="B2062" i="3"/>
  <c r="U2061" i="3"/>
  <c r="K2061" i="3"/>
  <c r="E2061" i="3"/>
  <c r="B2061" i="3"/>
  <c r="U2060" i="3"/>
  <c r="K2060" i="3"/>
  <c r="E2060" i="3"/>
  <c r="B2060" i="3"/>
  <c r="U2059" i="3"/>
  <c r="K2059" i="3"/>
  <c r="E2059" i="3"/>
  <c r="B2059" i="3"/>
  <c r="U2058" i="3"/>
  <c r="K2058" i="3"/>
  <c r="E2058" i="3"/>
  <c r="B2058" i="3"/>
  <c r="U2057" i="3"/>
  <c r="K2057" i="3"/>
  <c r="E2057" i="3"/>
  <c r="B2057" i="3"/>
  <c r="U2056" i="3"/>
  <c r="K2056" i="3"/>
  <c r="E2056" i="3"/>
  <c r="B2056" i="3"/>
  <c r="U2055" i="3"/>
  <c r="K2055" i="3"/>
  <c r="E2055" i="3"/>
  <c r="B2055" i="3"/>
  <c r="U2054" i="3"/>
  <c r="K2054" i="3"/>
  <c r="E2054" i="3"/>
  <c r="B2054" i="3"/>
  <c r="U2053" i="3"/>
  <c r="K2053" i="3"/>
  <c r="E2053" i="3"/>
  <c r="B2053" i="3"/>
  <c r="U2052" i="3"/>
  <c r="K2052" i="3"/>
  <c r="E2052" i="3"/>
  <c r="B2052" i="3"/>
  <c r="U2051" i="3"/>
  <c r="K2051" i="3"/>
  <c r="E2051" i="3"/>
  <c r="B2051" i="3"/>
  <c r="U2050" i="3"/>
  <c r="K2050" i="3"/>
  <c r="E2050" i="3"/>
  <c r="B2050" i="3"/>
  <c r="U2049" i="3"/>
  <c r="K2049" i="3"/>
  <c r="E2049" i="3"/>
  <c r="B2049" i="3"/>
  <c r="U2048" i="3"/>
  <c r="K2048" i="3"/>
  <c r="E2048" i="3"/>
  <c r="B2048" i="3"/>
  <c r="U2047" i="3"/>
  <c r="K2047" i="3"/>
  <c r="E2047" i="3"/>
  <c r="B2047" i="3"/>
  <c r="U2046" i="3"/>
  <c r="K2046" i="3"/>
  <c r="E2046" i="3"/>
  <c r="B2046" i="3"/>
  <c r="U2045" i="3"/>
  <c r="K2045" i="3"/>
  <c r="E2045" i="3"/>
  <c r="B2045" i="3"/>
  <c r="U2044" i="3"/>
  <c r="K2044" i="3"/>
  <c r="E2044" i="3"/>
  <c r="B2044" i="3"/>
  <c r="U2043" i="3"/>
  <c r="K2043" i="3"/>
  <c r="E2043" i="3"/>
  <c r="B2043" i="3"/>
  <c r="U2042" i="3"/>
  <c r="K2042" i="3"/>
  <c r="E2042" i="3"/>
  <c r="B2042" i="3"/>
  <c r="U2041" i="3"/>
  <c r="K2041" i="3"/>
  <c r="E2041" i="3"/>
  <c r="B2041" i="3"/>
  <c r="U2040" i="3"/>
  <c r="K2040" i="3"/>
  <c r="E2040" i="3"/>
  <c r="B2040" i="3"/>
  <c r="U2039" i="3"/>
  <c r="K2039" i="3"/>
  <c r="E2039" i="3"/>
  <c r="B2039" i="3"/>
  <c r="U2038" i="3"/>
  <c r="K2038" i="3"/>
  <c r="E2038" i="3"/>
  <c r="B2038" i="3"/>
  <c r="U2037" i="3"/>
  <c r="K2037" i="3"/>
  <c r="E2037" i="3"/>
  <c r="B2037" i="3"/>
  <c r="U2036" i="3"/>
  <c r="K2036" i="3"/>
  <c r="E2036" i="3"/>
  <c r="B2036" i="3"/>
  <c r="U2035" i="3"/>
  <c r="K2035" i="3"/>
  <c r="E2035" i="3"/>
  <c r="B2035" i="3"/>
  <c r="U2034" i="3"/>
  <c r="K2034" i="3"/>
  <c r="E2034" i="3"/>
  <c r="B2034" i="3"/>
  <c r="U2033" i="3"/>
  <c r="K2033" i="3"/>
  <c r="E2033" i="3"/>
  <c r="B2033" i="3"/>
  <c r="U2032" i="3"/>
  <c r="K2032" i="3"/>
  <c r="E2032" i="3"/>
  <c r="B2032" i="3"/>
  <c r="U2031" i="3"/>
  <c r="K2031" i="3"/>
  <c r="E2031" i="3"/>
  <c r="B2031" i="3"/>
  <c r="U2030" i="3"/>
  <c r="K2030" i="3"/>
  <c r="E2030" i="3"/>
  <c r="B2030" i="3"/>
  <c r="U2029" i="3"/>
  <c r="K2029" i="3"/>
  <c r="E2029" i="3"/>
  <c r="B2029" i="3"/>
  <c r="U2028" i="3"/>
  <c r="K2028" i="3"/>
  <c r="E2028" i="3"/>
  <c r="B2028" i="3"/>
  <c r="U2027" i="3"/>
  <c r="K2027" i="3"/>
  <c r="E2027" i="3"/>
  <c r="B2027" i="3"/>
  <c r="U2026" i="3"/>
  <c r="K2026" i="3"/>
  <c r="E2026" i="3"/>
  <c r="B2026" i="3"/>
  <c r="U2025" i="3"/>
  <c r="K2025" i="3"/>
  <c r="E2025" i="3"/>
  <c r="B2025" i="3"/>
  <c r="U2024" i="3"/>
  <c r="K2024" i="3"/>
  <c r="E2024" i="3"/>
  <c r="B2024" i="3"/>
  <c r="U2023" i="3"/>
  <c r="K2023" i="3"/>
  <c r="E2023" i="3"/>
  <c r="B2023" i="3"/>
  <c r="U2022" i="3"/>
  <c r="K2022" i="3"/>
  <c r="E2022" i="3"/>
  <c r="B2022" i="3"/>
  <c r="U2021" i="3"/>
  <c r="K2021" i="3"/>
  <c r="E2021" i="3"/>
  <c r="B2021" i="3"/>
  <c r="U2020" i="3"/>
  <c r="K2020" i="3"/>
  <c r="E2020" i="3"/>
  <c r="B2020" i="3"/>
  <c r="U2019" i="3"/>
  <c r="K2019" i="3"/>
  <c r="E2019" i="3"/>
  <c r="B2019" i="3"/>
  <c r="U2018" i="3"/>
  <c r="K2018" i="3"/>
  <c r="E2018" i="3"/>
  <c r="B2018" i="3"/>
  <c r="U2017" i="3"/>
  <c r="K2017" i="3"/>
  <c r="E2017" i="3"/>
  <c r="B2017" i="3"/>
  <c r="U2016" i="3"/>
  <c r="K2016" i="3"/>
  <c r="E2016" i="3"/>
  <c r="B2016" i="3"/>
  <c r="U2015" i="3"/>
  <c r="K2015" i="3"/>
  <c r="E2015" i="3"/>
  <c r="B2015" i="3"/>
  <c r="U2014" i="3"/>
  <c r="K2014" i="3"/>
  <c r="E2014" i="3"/>
  <c r="B2014" i="3"/>
  <c r="U2013" i="3"/>
  <c r="K2013" i="3"/>
  <c r="E2013" i="3"/>
  <c r="B2013" i="3"/>
  <c r="U2012" i="3"/>
  <c r="K2012" i="3"/>
  <c r="E2012" i="3"/>
  <c r="B2012" i="3"/>
  <c r="U2011" i="3"/>
  <c r="K2011" i="3"/>
  <c r="E2011" i="3"/>
  <c r="B2011" i="3"/>
  <c r="U2010" i="3"/>
  <c r="K2010" i="3"/>
  <c r="E2010" i="3"/>
  <c r="B2010" i="3"/>
  <c r="U2009" i="3"/>
  <c r="K2009" i="3"/>
  <c r="E2009" i="3"/>
  <c r="B2009" i="3"/>
  <c r="U2008" i="3"/>
  <c r="K2008" i="3"/>
  <c r="E2008" i="3"/>
  <c r="B2008" i="3"/>
  <c r="U2007" i="3"/>
  <c r="K2007" i="3"/>
  <c r="E2007" i="3"/>
  <c r="B2007" i="3"/>
  <c r="U2006" i="3"/>
  <c r="K2006" i="3"/>
  <c r="E2006" i="3"/>
  <c r="B2006" i="3"/>
  <c r="U2005" i="3"/>
  <c r="K2005" i="3"/>
  <c r="E2005" i="3"/>
  <c r="B2005" i="3"/>
  <c r="U2004" i="3"/>
  <c r="K2004" i="3"/>
  <c r="E2004" i="3"/>
  <c r="B2004" i="3"/>
  <c r="U2003" i="3"/>
  <c r="K2003" i="3"/>
  <c r="E2003" i="3"/>
  <c r="B2003" i="3"/>
  <c r="U2002" i="3"/>
  <c r="K2002" i="3"/>
  <c r="E2002" i="3"/>
  <c r="B2002" i="3"/>
  <c r="U2001" i="3"/>
  <c r="K2001" i="3"/>
  <c r="E2001" i="3"/>
  <c r="B2001" i="3"/>
  <c r="U2000" i="3"/>
  <c r="K2000" i="3"/>
  <c r="E2000" i="3"/>
  <c r="B2000" i="3"/>
  <c r="U1999" i="3"/>
  <c r="K1999" i="3"/>
  <c r="E1999" i="3"/>
  <c r="B1999" i="3"/>
  <c r="U1998" i="3"/>
  <c r="K1998" i="3"/>
  <c r="E1998" i="3"/>
  <c r="B1998" i="3"/>
  <c r="K1997" i="3"/>
  <c r="E1997" i="3"/>
  <c r="B1997" i="3"/>
  <c r="U1996" i="3"/>
  <c r="K1996" i="3"/>
  <c r="E1996" i="3"/>
  <c r="B1996" i="3"/>
  <c r="U1995" i="3"/>
  <c r="K1995" i="3"/>
  <c r="E1995" i="3"/>
  <c r="B1995" i="3"/>
  <c r="U1994" i="3"/>
  <c r="K1994" i="3"/>
  <c r="E1994" i="3"/>
  <c r="B1994" i="3"/>
  <c r="U1993" i="3"/>
  <c r="K1993" i="3"/>
  <c r="E1993" i="3"/>
  <c r="B1993" i="3"/>
  <c r="U1992" i="3"/>
  <c r="K1992" i="3"/>
  <c r="E1992" i="3"/>
  <c r="B1992" i="3"/>
  <c r="U1991" i="3"/>
  <c r="K1991" i="3"/>
  <c r="E1991" i="3"/>
  <c r="B1991" i="3"/>
  <c r="U1990" i="3"/>
  <c r="K1990" i="3"/>
  <c r="E1990" i="3"/>
  <c r="B1990" i="3"/>
  <c r="U1989" i="3"/>
  <c r="K1989" i="3"/>
  <c r="E1989" i="3"/>
  <c r="B1989" i="3"/>
  <c r="U1988" i="3"/>
  <c r="K1988" i="3"/>
  <c r="E1988" i="3"/>
  <c r="B1988" i="3"/>
  <c r="U1987" i="3"/>
  <c r="K1987" i="3"/>
  <c r="E1987" i="3"/>
  <c r="B1987" i="3"/>
  <c r="U1986" i="3"/>
  <c r="K1986" i="3"/>
  <c r="E1986" i="3"/>
  <c r="B1986" i="3"/>
  <c r="U1985" i="3"/>
  <c r="K1985" i="3"/>
  <c r="E1985" i="3"/>
  <c r="B1985" i="3"/>
  <c r="U1984" i="3"/>
  <c r="K1984" i="3"/>
  <c r="E1984" i="3"/>
  <c r="B1984" i="3"/>
  <c r="U1983" i="3"/>
  <c r="K1983" i="3"/>
  <c r="E1983" i="3"/>
  <c r="B1983" i="3"/>
  <c r="U1982" i="3"/>
  <c r="K1982" i="3"/>
  <c r="E1982" i="3"/>
  <c r="B1982" i="3"/>
  <c r="U1981" i="3"/>
  <c r="K1981" i="3"/>
  <c r="E1981" i="3"/>
  <c r="B1981" i="3"/>
  <c r="U1980" i="3"/>
  <c r="K1980" i="3"/>
  <c r="E1980" i="3"/>
  <c r="B1980" i="3"/>
  <c r="U1979" i="3"/>
  <c r="K1979" i="3"/>
  <c r="E1979" i="3"/>
  <c r="B1979" i="3"/>
  <c r="U1978" i="3"/>
  <c r="K1978" i="3"/>
  <c r="E1978" i="3"/>
  <c r="B1978" i="3"/>
  <c r="U1977" i="3"/>
  <c r="K1977" i="3"/>
  <c r="E1977" i="3"/>
  <c r="B1977" i="3"/>
  <c r="U1976" i="3"/>
  <c r="K1976" i="3"/>
  <c r="E1976" i="3"/>
  <c r="B1976" i="3"/>
  <c r="U1975" i="3"/>
  <c r="K1975" i="3"/>
  <c r="E1975" i="3"/>
  <c r="B1975" i="3"/>
  <c r="U1974" i="3"/>
  <c r="K1974" i="3"/>
  <c r="E1974" i="3"/>
  <c r="B1974" i="3"/>
  <c r="U1973" i="3"/>
  <c r="K1973" i="3"/>
  <c r="E1973" i="3"/>
  <c r="B1973" i="3"/>
  <c r="U1972" i="3"/>
  <c r="K1972" i="3"/>
  <c r="E1972" i="3"/>
  <c r="B1972" i="3"/>
  <c r="U1971" i="3"/>
  <c r="K1971" i="3"/>
  <c r="E1971" i="3"/>
  <c r="B1971" i="3"/>
  <c r="U1970" i="3"/>
  <c r="K1970" i="3"/>
  <c r="E1970" i="3"/>
  <c r="B1970" i="3"/>
  <c r="U1969" i="3"/>
  <c r="K1969" i="3"/>
  <c r="E1969" i="3"/>
  <c r="B1969" i="3"/>
  <c r="U1968" i="3"/>
  <c r="K1968" i="3"/>
  <c r="E1968" i="3"/>
  <c r="B1968" i="3"/>
  <c r="U1967" i="3"/>
  <c r="K1967" i="3"/>
  <c r="E1967" i="3"/>
  <c r="B1967" i="3"/>
  <c r="U1966" i="3"/>
  <c r="K1966" i="3"/>
  <c r="E1966" i="3"/>
  <c r="B1966" i="3"/>
  <c r="U1965" i="3"/>
  <c r="K1965" i="3"/>
  <c r="E1965" i="3"/>
  <c r="B1965" i="3"/>
  <c r="U1964" i="3"/>
  <c r="K1964" i="3"/>
  <c r="E1964" i="3"/>
  <c r="B1964" i="3"/>
  <c r="U1963" i="3"/>
  <c r="K1963" i="3"/>
  <c r="E1963" i="3"/>
  <c r="B1963" i="3"/>
  <c r="U1962" i="3"/>
  <c r="K1962" i="3"/>
  <c r="E1962" i="3"/>
  <c r="B1962" i="3"/>
  <c r="U1961" i="3"/>
  <c r="K1961" i="3"/>
  <c r="E1961" i="3"/>
  <c r="B1961" i="3"/>
  <c r="U1960" i="3"/>
  <c r="K1960" i="3"/>
  <c r="E1960" i="3"/>
  <c r="B1960" i="3"/>
  <c r="U1959" i="3"/>
  <c r="K1959" i="3"/>
  <c r="E1959" i="3"/>
  <c r="B1959" i="3"/>
  <c r="U1958" i="3"/>
  <c r="K1958" i="3"/>
  <c r="E1958" i="3"/>
  <c r="B1958" i="3"/>
  <c r="U1957" i="3"/>
  <c r="K1957" i="3"/>
  <c r="E1957" i="3"/>
  <c r="B1957" i="3"/>
  <c r="U1956" i="3"/>
  <c r="K1956" i="3"/>
  <c r="E1956" i="3"/>
  <c r="B1956" i="3"/>
  <c r="U1955" i="3"/>
  <c r="K1955" i="3"/>
  <c r="E1955" i="3"/>
  <c r="B1955" i="3"/>
  <c r="U1954" i="3"/>
  <c r="K1954" i="3"/>
  <c r="E1954" i="3"/>
  <c r="B1954" i="3"/>
  <c r="U1953" i="3"/>
  <c r="K1953" i="3"/>
  <c r="E1953" i="3"/>
  <c r="B1953" i="3"/>
  <c r="U1952" i="3"/>
  <c r="K1952" i="3"/>
  <c r="E1952" i="3"/>
  <c r="B1952" i="3"/>
  <c r="U1951" i="3"/>
  <c r="K1951" i="3"/>
  <c r="E1951" i="3"/>
  <c r="B1951" i="3"/>
  <c r="U1950" i="3"/>
  <c r="K1950" i="3"/>
  <c r="E1950" i="3"/>
  <c r="B1950" i="3"/>
  <c r="U1949" i="3"/>
  <c r="K1949" i="3"/>
  <c r="E1949" i="3"/>
  <c r="B1949" i="3"/>
  <c r="U1948" i="3"/>
  <c r="K1948" i="3"/>
  <c r="E1948" i="3"/>
  <c r="B1948" i="3"/>
  <c r="U1947" i="3"/>
  <c r="K1947" i="3"/>
  <c r="E1947" i="3"/>
  <c r="B1947" i="3"/>
  <c r="U1946" i="3"/>
  <c r="K1946" i="3"/>
  <c r="E1946" i="3"/>
  <c r="B1946" i="3"/>
  <c r="U1945" i="3"/>
  <c r="K1945" i="3"/>
  <c r="E1945" i="3"/>
  <c r="B1945" i="3"/>
  <c r="U1944" i="3"/>
  <c r="K1944" i="3"/>
  <c r="E1944" i="3"/>
  <c r="B1944" i="3"/>
  <c r="U1943" i="3"/>
  <c r="K1943" i="3"/>
  <c r="E1943" i="3"/>
  <c r="B1943" i="3"/>
  <c r="U1942" i="3"/>
  <c r="K1942" i="3"/>
  <c r="E1942" i="3"/>
  <c r="B1942" i="3"/>
  <c r="K1941" i="3"/>
  <c r="E1941" i="3"/>
  <c r="B1941" i="3"/>
  <c r="U1940" i="3"/>
  <c r="K1940" i="3"/>
  <c r="E1940" i="3"/>
  <c r="B1940" i="3"/>
  <c r="U1939" i="3"/>
  <c r="K1939" i="3"/>
  <c r="E1939" i="3"/>
  <c r="B1939" i="3"/>
  <c r="U1938" i="3"/>
  <c r="K1938" i="3"/>
  <c r="E1938" i="3"/>
  <c r="B1938" i="3"/>
  <c r="U1937" i="3"/>
  <c r="K1937" i="3"/>
  <c r="E1937" i="3"/>
  <c r="B1937" i="3"/>
  <c r="U1936" i="3"/>
  <c r="K1936" i="3"/>
  <c r="E1936" i="3"/>
  <c r="B1936" i="3"/>
  <c r="U1935" i="3"/>
  <c r="K1935" i="3"/>
  <c r="E1935" i="3"/>
  <c r="B1935" i="3"/>
  <c r="U1934" i="3"/>
  <c r="K1934" i="3"/>
  <c r="E1934" i="3"/>
  <c r="B1934" i="3"/>
  <c r="U1933" i="3"/>
  <c r="K1933" i="3"/>
  <c r="E1933" i="3"/>
  <c r="B1933" i="3"/>
  <c r="U1932" i="3"/>
  <c r="K1932" i="3"/>
  <c r="E1932" i="3"/>
  <c r="B1932" i="3"/>
  <c r="U1931" i="3"/>
  <c r="K1931" i="3"/>
  <c r="E1931" i="3"/>
  <c r="B1931" i="3"/>
  <c r="U1930" i="3"/>
  <c r="K1930" i="3"/>
  <c r="E1930" i="3"/>
  <c r="B1930" i="3"/>
  <c r="U1929" i="3"/>
  <c r="K1929" i="3"/>
  <c r="E1929" i="3"/>
  <c r="B1929" i="3"/>
  <c r="U1928" i="3"/>
  <c r="K1928" i="3"/>
  <c r="E1928" i="3"/>
  <c r="B1928" i="3"/>
  <c r="U1927" i="3"/>
  <c r="K1927" i="3"/>
  <c r="E1927" i="3"/>
  <c r="B1927" i="3"/>
  <c r="U1926" i="3"/>
  <c r="K1926" i="3"/>
  <c r="E1926" i="3"/>
  <c r="B1926" i="3"/>
  <c r="U1925" i="3"/>
  <c r="K1925" i="3"/>
  <c r="E1925" i="3"/>
  <c r="B1925" i="3"/>
  <c r="U1924" i="3"/>
  <c r="K1924" i="3"/>
  <c r="E1924" i="3"/>
  <c r="B1924" i="3"/>
  <c r="U1923" i="3"/>
  <c r="K1923" i="3"/>
  <c r="E1923" i="3"/>
  <c r="B1923" i="3"/>
  <c r="U1922" i="3"/>
  <c r="K1922" i="3"/>
  <c r="E1922" i="3"/>
  <c r="B1922" i="3"/>
  <c r="U1921" i="3"/>
  <c r="K1921" i="3"/>
  <c r="E1921" i="3"/>
  <c r="B1921" i="3"/>
  <c r="U1920" i="3"/>
  <c r="K1920" i="3"/>
  <c r="E1920" i="3"/>
  <c r="B1920" i="3"/>
  <c r="U1919" i="3"/>
  <c r="K1919" i="3"/>
  <c r="E1919" i="3"/>
  <c r="B1919" i="3"/>
  <c r="U1918" i="3"/>
  <c r="K1918" i="3"/>
  <c r="E1918" i="3"/>
  <c r="B1918" i="3"/>
  <c r="U1917" i="3"/>
  <c r="K1917" i="3"/>
  <c r="E1917" i="3"/>
  <c r="B1917" i="3"/>
  <c r="U1916" i="3"/>
  <c r="K1916" i="3"/>
  <c r="E1916" i="3"/>
  <c r="B1916" i="3"/>
  <c r="U1915" i="3"/>
  <c r="K1915" i="3"/>
  <c r="E1915" i="3"/>
  <c r="B1915" i="3"/>
  <c r="U1914" i="3"/>
  <c r="K1914" i="3"/>
  <c r="E1914" i="3"/>
  <c r="B1914" i="3"/>
  <c r="U1913" i="3"/>
  <c r="K1913" i="3"/>
  <c r="E1913" i="3"/>
  <c r="B1913" i="3"/>
  <c r="U1912" i="3"/>
  <c r="K1912" i="3"/>
  <c r="E1912" i="3"/>
  <c r="B1912" i="3"/>
  <c r="K1911" i="3"/>
  <c r="E1911" i="3"/>
  <c r="B1911" i="3"/>
  <c r="U1910" i="3"/>
  <c r="K1910" i="3"/>
  <c r="E1910" i="3"/>
  <c r="B1910" i="3"/>
  <c r="U1909" i="3"/>
  <c r="K1909" i="3"/>
  <c r="E1909" i="3"/>
  <c r="B1909" i="3"/>
  <c r="U1908" i="3"/>
  <c r="K1908" i="3"/>
  <c r="E1908" i="3"/>
  <c r="B1908" i="3"/>
  <c r="U1907" i="3"/>
  <c r="K1907" i="3"/>
  <c r="E1907" i="3"/>
  <c r="B1907" i="3"/>
  <c r="U1906" i="3"/>
  <c r="K1906" i="3"/>
  <c r="E1906" i="3"/>
  <c r="B1906" i="3"/>
  <c r="U1905" i="3"/>
  <c r="K1905" i="3"/>
  <c r="E1905" i="3"/>
  <c r="B1905" i="3"/>
  <c r="U1904" i="3"/>
  <c r="K1904" i="3"/>
  <c r="E1904" i="3"/>
  <c r="B1904" i="3"/>
  <c r="U1903" i="3"/>
  <c r="K1903" i="3"/>
  <c r="E1903" i="3"/>
  <c r="B1903" i="3"/>
  <c r="U1902" i="3"/>
  <c r="K1902" i="3"/>
  <c r="E1902" i="3"/>
  <c r="B1902" i="3"/>
  <c r="U1901" i="3"/>
  <c r="K1901" i="3"/>
  <c r="E1901" i="3"/>
  <c r="B1901" i="3"/>
  <c r="U1900" i="3"/>
  <c r="K1900" i="3"/>
  <c r="E1900" i="3"/>
  <c r="B1900" i="3"/>
  <c r="U1899" i="3"/>
  <c r="K1899" i="3"/>
  <c r="E1899" i="3"/>
  <c r="B1899" i="3"/>
  <c r="U1898" i="3"/>
  <c r="K1898" i="3"/>
  <c r="E1898" i="3"/>
  <c r="B1898" i="3"/>
  <c r="U1897" i="3"/>
  <c r="K1897" i="3"/>
  <c r="E1897" i="3"/>
  <c r="B1897" i="3"/>
  <c r="U1896" i="3"/>
  <c r="K1896" i="3"/>
  <c r="E1896" i="3"/>
  <c r="B1896" i="3"/>
  <c r="U1895" i="3"/>
  <c r="K1895" i="3"/>
  <c r="E1895" i="3"/>
  <c r="B1895" i="3"/>
  <c r="U1894" i="3"/>
  <c r="K1894" i="3"/>
  <c r="E1894" i="3"/>
  <c r="B1894" i="3"/>
  <c r="U1893" i="3"/>
  <c r="K1893" i="3"/>
  <c r="E1893" i="3"/>
  <c r="B1893" i="3"/>
  <c r="U1892" i="3"/>
  <c r="K1892" i="3"/>
  <c r="E1892" i="3"/>
  <c r="B1892" i="3"/>
  <c r="U1891" i="3"/>
  <c r="K1891" i="3"/>
  <c r="E1891" i="3"/>
  <c r="B1891" i="3"/>
  <c r="U1890" i="3"/>
  <c r="K1890" i="3"/>
  <c r="E1890" i="3"/>
  <c r="B1890" i="3"/>
  <c r="U1889" i="3"/>
  <c r="K1889" i="3"/>
  <c r="E1889" i="3"/>
  <c r="B1889" i="3"/>
  <c r="U1888" i="3"/>
  <c r="K1888" i="3"/>
  <c r="E1888" i="3"/>
  <c r="B1888" i="3"/>
  <c r="U1887" i="3"/>
  <c r="K1887" i="3"/>
  <c r="E1887" i="3"/>
  <c r="B1887" i="3"/>
  <c r="U1886" i="3"/>
  <c r="K1886" i="3"/>
  <c r="E1886" i="3"/>
  <c r="B1886" i="3"/>
  <c r="U1885" i="3"/>
  <c r="K1885" i="3"/>
  <c r="E1885" i="3"/>
  <c r="B1885" i="3"/>
  <c r="U1884" i="3"/>
  <c r="K1884" i="3"/>
  <c r="E1884" i="3"/>
  <c r="B1884" i="3"/>
  <c r="U1883" i="3"/>
  <c r="K1883" i="3"/>
  <c r="E1883" i="3"/>
  <c r="B1883" i="3"/>
  <c r="U1882" i="3"/>
  <c r="K1882" i="3"/>
  <c r="E1882" i="3"/>
  <c r="B1882" i="3"/>
  <c r="U1881" i="3"/>
  <c r="K1881" i="3"/>
  <c r="E1881" i="3"/>
  <c r="B1881" i="3"/>
  <c r="U1880" i="3"/>
  <c r="K1880" i="3"/>
  <c r="E1880" i="3"/>
  <c r="B1880" i="3"/>
  <c r="U1879" i="3"/>
  <c r="K1879" i="3"/>
  <c r="E1879" i="3"/>
  <c r="B1879" i="3"/>
  <c r="U1878" i="3"/>
  <c r="K1878" i="3"/>
  <c r="E1878" i="3"/>
  <c r="B1878" i="3"/>
  <c r="U1877" i="3"/>
  <c r="K1877" i="3"/>
  <c r="E1877" i="3"/>
  <c r="B1877" i="3"/>
  <c r="U1876" i="3"/>
  <c r="K1876" i="3"/>
  <c r="E1876" i="3"/>
  <c r="B1876" i="3"/>
  <c r="U1875" i="3"/>
  <c r="K1875" i="3"/>
  <c r="E1875" i="3"/>
  <c r="B1875" i="3"/>
  <c r="U1874" i="3"/>
  <c r="K1874" i="3"/>
  <c r="E1874" i="3"/>
  <c r="B1874" i="3"/>
  <c r="U1873" i="3"/>
  <c r="K1873" i="3"/>
  <c r="E1873" i="3"/>
  <c r="B1873" i="3"/>
  <c r="U1872" i="3"/>
  <c r="K1872" i="3"/>
  <c r="E1872" i="3"/>
  <c r="B1872" i="3"/>
  <c r="U1871" i="3"/>
  <c r="K1871" i="3"/>
  <c r="E1871" i="3"/>
  <c r="B1871" i="3"/>
  <c r="U1870" i="3"/>
  <c r="K1870" i="3"/>
  <c r="E1870" i="3"/>
  <c r="B1870" i="3"/>
  <c r="U1869" i="3"/>
  <c r="K1869" i="3"/>
  <c r="E1869" i="3"/>
  <c r="B1869" i="3"/>
  <c r="U1868" i="3"/>
  <c r="K1868" i="3"/>
  <c r="E1868" i="3"/>
  <c r="B1868" i="3"/>
  <c r="U1867" i="3"/>
  <c r="K1867" i="3"/>
  <c r="E1867" i="3"/>
  <c r="B1867" i="3"/>
  <c r="U1866" i="3"/>
  <c r="K1866" i="3"/>
  <c r="E1866" i="3"/>
  <c r="B1866" i="3"/>
  <c r="U1865" i="3"/>
  <c r="K1865" i="3"/>
  <c r="E1865" i="3"/>
  <c r="B1865" i="3"/>
  <c r="U1864" i="3"/>
  <c r="K1864" i="3"/>
  <c r="E1864" i="3"/>
  <c r="B1864" i="3"/>
  <c r="U1863" i="3"/>
  <c r="K1863" i="3"/>
  <c r="E1863" i="3"/>
  <c r="B1863" i="3"/>
  <c r="U1862" i="3"/>
  <c r="K1862" i="3"/>
  <c r="E1862" i="3"/>
  <c r="B1862" i="3"/>
  <c r="U1861" i="3"/>
  <c r="K1861" i="3"/>
  <c r="E1861" i="3"/>
  <c r="B1861" i="3"/>
  <c r="U1860" i="3"/>
  <c r="K1860" i="3"/>
  <c r="E1860" i="3"/>
  <c r="B1860" i="3"/>
  <c r="U1859" i="3"/>
  <c r="K1859" i="3"/>
  <c r="E1859" i="3"/>
  <c r="B1859" i="3"/>
  <c r="U1858" i="3"/>
  <c r="K1858" i="3"/>
  <c r="E1858" i="3"/>
  <c r="B1858" i="3"/>
  <c r="U1857" i="3"/>
  <c r="K1857" i="3"/>
  <c r="E1857" i="3"/>
  <c r="B1857" i="3"/>
  <c r="U1856" i="3"/>
  <c r="K1856" i="3"/>
  <c r="E1856" i="3"/>
  <c r="B1856" i="3"/>
  <c r="U1855" i="3"/>
  <c r="K1855" i="3"/>
  <c r="E1855" i="3"/>
  <c r="B1855" i="3"/>
  <c r="U1854" i="3"/>
  <c r="K1854" i="3"/>
  <c r="E1854" i="3"/>
  <c r="B1854" i="3"/>
  <c r="U1853" i="3"/>
  <c r="K1853" i="3"/>
  <c r="E1853" i="3"/>
  <c r="B1853" i="3"/>
  <c r="U1852" i="3"/>
  <c r="K1852" i="3"/>
  <c r="E1852" i="3"/>
  <c r="B1852" i="3"/>
  <c r="U1851" i="3"/>
  <c r="K1851" i="3"/>
  <c r="E1851" i="3"/>
  <c r="B1851" i="3"/>
  <c r="U1850" i="3"/>
  <c r="K1850" i="3"/>
  <c r="E1850" i="3"/>
  <c r="B1850" i="3"/>
  <c r="U1849" i="3"/>
  <c r="K1849" i="3"/>
  <c r="E1849" i="3"/>
  <c r="B1849" i="3"/>
  <c r="U1848" i="3"/>
  <c r="K1848" i="3"/>
  <c r="E1848" i="3"/>
  <c r="B1848" i="3"/>
  <c r="U1847" i="3"/>
  <c r="K1847" i="3"/>
  <c r="E1847" i="3"/>
  <c r="B1847" i="3"/>
  <c r="U1846" i="3"/>
  <c r="K1846" i="3"/>
  <c r="E1846" i="3"/>
  <c r="B1846" i="3"/>
  <c r="U1845" i="3"/>
  <c r="K1845" i="3"/>
  <c r="E1845" i="3"/>
  <c r="B1845" i="3"/>
  <c r="U1844" i="3"/>
  <c r="K1844" i="3"/>
  <c r="E1844" i="3"/>
  <c r="B1844" i="3"/>
  <c r="U1843" i="3"/>
  <c r="K1843" i="3"/>
  <c r="E1843" i="3"/>
  <c r="B1843" i="3"/>
  <c r="K1842" i="3"/>
  <c r="E1842" i="3"/>
  <c r="B1842" i="3"/>
  <c r="U1841" i="3"/>
  <c r="K1841" i="3"/>
  <c r="E1841" i="3"/>
  <c r="B1841" i="3"/>
  <c r="U1840" i="3"/>
  <c r="K1840" i="3"/>
  <c r="E1840" i="3"/>
  <c r="B1840" i="3"/>
  <c r="U1839" i="3"/>
  <c r="K1839" i="3"/>
  <c r="E1839" i="3"/>
  <c r="B1839" i="3"/>
  <c r="U1838" i="3"/>
  <c r="K1838" i="3"/>
  <c r="E1838" i="3"/>
  <c r="B1838" i="3"/>
  <c r="U1837" i="3"/>
  <c r="K1837" i="3"/>
  <c r="E1837" i="3"/>
  <c r="B1837" i="3"/>
  <c r="U1836" i="3"/>
  <c r="K1836" i="3"/>
  <c r="E1836" i="3"/>
  <c r="B1836" i="3"/>
  <c r="U1835" i="3"/>
  <c r="K1835" i="3"/>
  <c r="E1835" i="3"/>
  <c r="B1835" i="3"/>
  <c r="U1834" i="3"/>
  <c r="K1834" i="3"/>
  <c r="E1834" i="3"/>
  <c r="B1834" i="3"/>
  <c r="U1833" i="3"/>
  <c r="K1833" i="3"/>
  <c r="E1833" i="3"/>
  <c r="B1833" i="3"/>
  <c r="U1832" i="3"/>
  <c r="K1832" i="3"/>
  <c r="E1832" i="3"/>
  <c r="B1832" i="3"/>
  <c r="U1831" i="3"/>
  <c r="K1831" i="3"/>
  <c r="E1831" i="3"/>
  <c r="B1831" i="3"/>
  <c r="U1830" i="3"/>
  <c r="K1830" i="3"/>
  <c r="E1830" i="3"/>
  <c r="B1830" i="3"/>
  <c r="U1829" i="3"/>
  <c r="K1829" i="3"/>
  <c r="E1829" i="3"/>
  <c r="B1829" i="3"/>
  <c r="U1828" i="3"/>
  <c r="K1828" i="3"/>
  <c r="E1828" i="3"/>
  <c r="B1828" i="3"/>
  <c r="U1827" i="3"/>
  <c r="K1827" i="3"/>
  <c r="E1827" i="3"/>
  <c r="B1827" i="3"/>
  <c r="U1826" i="3"/>
  <c r="K1826" i="3"/>
  <c r="E1826" i="3"/>
  <c r="B1826" i="3"/>
  <c r="U1825" i="3"/>
  <c r="K1825" i="3"/>
  <c r="E1825" i="3"/>
  <c r="B1825" i="3"/>
  <c r="U1824" i="3"/>
  <c r="K1824" i="3"/>
  <c r="E1824" i="3"/>
  <c r="B1824" i="3"/>
  <c r="U1823" i="3"/>
  <c r="K1823" i="3"/>
  <c r="E1823" i="3"/>
  <c r="B1823" i="3"/>
  <c r="U1822" i="3"/>
  <c r="K1822" i="3"/>
  <c r="E1822" i="3"/>
  <c r="B1822" i="3"/>
  <c r="U1821" i="3"/>
  <c r="K1821" i="3"/>
  <c r="E1821" i="3"/>
  <c r="B1821" i="3"/>
  <c r="U1820" i="3"/>
  <c r="K1820" i="3"/>
  <c r="E1820" i="3"/>
  <c r="B1820" i="3"/>
  <c r="U1819" i="3"/>
  <c r="K1819" i="3"/>
  <c r="E1819" i="3"/>
  <c r="B1819" i="3"/>
  <c r="U1818" i="3"/>
  <c r="K1818" i="3"/>
  <c r="E1818" i="3"/>
  <c r="B1818" i="3"/>
  <c r="U1817" i="3"/>
  <c r="K1817" i="3"/>
  <c r="E1817" i="3"/>
  <c r="B1817" i="3"/>
  <c r="U1816" i="3"/>
  <c r="K1816" i="3"/>
  <c r="E1816" i="3"/>
  <c r="B1816" i="3"/>
  <c r="U1815" i="3"/>
  <c r="K1815" i="3"/>
  <c r="E1815" i="3"/>
  <c r="B1815" i="3"/>
  <c r="U1814" i="3"/>
  <c r="K1814" i="3"/>
  <c r="E1814" i="3"/>
  <c r="B1814" i="3"/>
  <c r="U1813" i="3"/>
  <c r="K1813" i="3"/>
  <c r="E1813" i="3"/>
  <c r="B1813" i="3"/>
  <c r="U1812" i="3"/>
  <c r="K1812" i="3"/>
  <c r="E1812" i="3"/>
  <c r="B1812" i="3"/>
  <c r="U1811" i="3"/>
  <c r="K1811" i="3"/>
  <c r="E1811" i="3"/>
  <c r="B1811" i="3"/>
  <c r="U1810" i="3"/>
  <c r="K1810" i="3"/>
  <c r="E1810" i="3"/>
  <c r="B1810" i="3"/>
  <c r="U1809" i="3"/>
  <c r="K1809" i="3"/>
  <c r="E1809" i="3"/>
  <c r="B1809" i="3"/>
  <c r="U1808" i="3"/>
  <c r="K1808" i="3"/>
  <c r="E1808" i="3"/>
  <c r="B1808" i="3"/>
  <c r="U1807" i="3"/>
  <c r="K1807" i="3"/>
  <c r="E1807" i="3"/>
  <c r="B1807" i="3"/>
  <c r="U1806" i="3"/>
  <c r="K1806" i="3"/>
  <c r="E1806" i="3"/>
  <c r="B1806" i="3"/>
  <c r="U1805" i="3"/>
  <c r="K1805" i="3"/>
  <c r="E1805" i="3"/>
  <c r="B1805" i="3"/>
  <c r="U1804" i="3"/>
  <c r="K1804" i="3"/>
  <c r="E1804" i="3"/>
  <c r="B1804" i="3"/>
  <c r="U1803" i="3"/>
  <c r="K1803" i="3"/>
  <c r="E1803" i="3"/>
  <c r="B1803" i="3"/>
  <c r="U1802" i="3"/>
  <c r="K1802" i="3"/>
  <c r="E1802" i="3"/>
  <c r="B1802" i="3"/>
  <c r="U1801" i="3"/>
  <c r="K1801" i="3"/>
  <c r="E1801" i="3"/>
  <c r="B1801" i="3"/>
  <c r="U1800" i="3"/>
  <c r="K1800" i="3"/>
  <c r="E1800" i="3"/>
  <c r="B1800" i="3"/>
  <c r="U1799" i="3"/>
  <c r="K1799" i="3"/>
  <c r="E1799" i="3"/>
  <c r="B1799" i="3"/>
  <c r="U1798" i="3"/>
  <c r="K1798" i="3"/>
  <c r="E1798" i="3"/>
  <c r="B1798" i="3"/>
  <c r="U1797" i="3"/>
  <c r="K1797" i="3"/>
  <c r="E1797" i="3"/>
  <c r="B1797" i="3"/>
  <c r="U1796" i="3"/>
  <c r="K1796" i="3"/>
  <c r="E1796" i="3"/>
  <c r="B1796" i="3"/>
  <c r="U1795" i="3"/>
  <c r="K1795" i="3"/>
  <c r="E1795" i="3"/>
  <c r="B1795" i="3"/>
  <c r="U1794" i="3"/>
  <c r="K1794" i="3"/>
  <c r="E1794" i="3"/>
  <c r="B1794" i="3"/>
  <c r="U1793" i="3"/>
  <c r="K1793" i="3"/>
  <c r="E1793" i="3"/>
  <c r="B1793" i="3"/>
  <c r="U1792" i="3"/>
  <c r="K1792" i="3"/>
  <c r="E1792" i="3"/>
  <c r="B1792" i="3"/>
  <c r="U1791" i="3"/>
  <c r="K1791" i="3"/>
  <c r="E1791" i="3"/>
  <c r="B1791" i="3"/>
  <c r="U1790" i="3"/>
  <c r="K1790" i="3"/>
  <c r="E1790" i="3"/>
  <c r="B1790" i="3"/>
  <c r="U1789" i="3"/>
  <c r="K1789" i="3"/>
  <c r="E1789" i="3"/>
  <c r="B1789" i="3"/>
  <c r="U1788" i="3"/>
  <c r="K1788" i="3"/>
  <c r="E1788" i="3"/>
  <c r="B1788" i="3"/>
  <c r="U1787" i="3"/>
  <c r="K1787" i="3"/>
  <c r="E1787" i="3"/>
  <c r="B1787" i="3"/>
  <c r="U1786" i="3"/>
  <c r="K1786" i="3"/>
  <c r="E1786" i="3"/>
  <c r="B1786" i="3"/>
  <c r="U1785" i="3"/>
  <c r="K1785" i="3"/>
  <c r="E1785" i="3"/>
  <c r="B1785" i="3"/>
  <c r="U1784" i="3"/>
  <c r="K1784" i="3"/>
  <c r="E1784" i="3"/>
  <c r="B1784" i="3"/>
  <c r="U1783" i="3"/>
  <c r="K1783" i="3"/>
  <c r="E1783" i="3"/>
  <c r="B1783" i="3"/>
  <c r="U1782" i="3"/>
  <c r="K1782" i="3"/>
  <c r="E1782" i="3"/>
  <c r="B1782" i="3"/>
  <c r="U1781" i="3"/>
  <c r="K1781" i="3"/>
  <c r="E1781" i="3"/>
  <c r="B1781" i="3"/>
  <c r="U1780" i="3"/>
  <c r="K1780" i="3"/>
  <c r="E1780" i="3"/>
  <c r="B1780" i="3"/>
  <c r="U1779" i="3"/>
  <c r="K1779" i="3"/>
  <c r="E1779" i="3"/>
  <c r="B1779" i="3"/>
  <c r="U1778" i="3"/>
  <c r="K1778" i="3"/>
  <c r="E1778" i="3"/>
  <c r="B1778" i="3"/>
  <c r="U1777" i="3"/>
  <c r="K1777" i="3"/>
  <c r="E1777" i="3"/>
  <c r="B1777" i="3"/>
  <c r="U1776" i="3"/>
  <c r="K1776" i="3"/>
  <c r="E1776" i="3"/>
  <c r="B1776" i="3"/>
  <c r="U1775" i="3"/>
  <c r="K1775" i="3"/>
  <c r="E1775" i="3"/>
  <c r="B1775" i="3"/>
  <c r="U1774" i="3"/>
  <c r="K1774" i="3"/>
  <c r="E1774" i="3"/>
  <c r="B1774" i="3"/>
  <c r="U1773" i="3"/>
  <c r="K1773" i="3"/>
  <c r="E1773" i="3"/>
  <c r="B1773" i="3"/>
  <c r="U1772" i="3"/>
  <c r="K1772" i="3"/>
  <c r="E1772" i="3"/>
  <c r="B1772" i="3"/>
  <c r="U1771" i="3"/>
  <c r="K1771" i="3"/>
  <c r="E1771" i="3"/>
  <c r="B1771" i="3"/>
  <c r="U1770" i="3"/>
  <c r="K1770" i="3"/>
  <c r="E1770" i="3"/>
  <c r="B1770" i="3"/>
  <c r="U1769" i="3"/>
  <c r="K1769" i="3"/>
  <c r="E1769" i="3"/>
  <c r="B1769" i="3"/>
  <c r="U1768" i="3"/>
  <c r="K1768" i="3"/>
  <c r="E1768" i="3"/>
  <c r="B1768" i="3"/>
  <c r="U1767" i="3"/>
  <c r="K1767" i="3"/>
  <c r="E1767" i="3"/>
  <c r="B1767" i="3"/>
  <c r="U1766" i="3"/>
  <c r="K1766" i="3"/>
  <c r="E1766" i="3"/>
  <c r="B1766" i="3"/>
  <c r="U1765" i="3"/>
  <c r="K1765" i="3"/>
  <c r="E1765" i="3"/>
  <c r="B1765" i="3"/>
  <c r="U1764" i="3"/>
  <c r="K1764" i="3"/>
  <c r="E1764" i="3"/>
  <c r="B1764" i="3"/>
  <c r="U1763" i="3"/>
  <c r="K1763" i="3"/>
  <c r="E1763" i="3"/>
  <c r="B1763" i="3"/>
  <c r="U1762" i="3"/>
  <c r="K1762" i="3"/>
  <c r="E1762" i="3"/>
  <c r="B1762" i="3"/>
  <c r="U1761" i="3"/>
  <c r="K1761" i="3"/>
  <c r="E1761" i="3"/>
  <c r="B1761" i="3"/>
  <c r="U1760" i="3"/>
  <c r="K1760" i="3"/>
  <c r="E1760" i="3"/>
  <c r="B1760" i="3"/>
  <c r="U1759" i="3"/>
  <c r="K1759" i="3"/>
  <c r="E1759" i="3"/>
  <c r="B1759" i="3"/>
  <c r="U1758" i="3"/>
  <c r="K1758" i="3"/>
  <c r="E1758" i="3"/>
  <c r="B1758" i="3"/>
  <c r="U1757" i="3"/>
  <c r="K1757" i="3"/>
  <c r="E1757" i="3"/>
  <c r="B1757" i="3"/>
  <c r="U1756" i="3"/>
  <c r="K1756" i="3"/>
  <c r="E1756" i="3"/>
  <c r="B1756" i="3"/>
  <c r="U1755" i="3"/>
  <c r="K1755" i="3"/>
  <c r="E1755" i="3"/>
  <c r="B1755" i="3"/>
  <c r="U1754" i="3"/>
  <c r="K1754" i="3"/>
  <c r="E1754" i="3"/>
  <c r="B1754" i="3"/>
  <c r="U1753" i="3"/>
  <c r="K1753" i="3"/>
  <c r="E1753" i="3"/>
  <c r="B1753" i="3"/>
  <c r="U1752" i="3"/>
  <c r="K1752" i="3"/>
  <c r="E1752" i="3"/>
  <c r="B1752" i="3"/>
  <c r="U1751" i="3"/>
  <c r="K1751" i="3"/>
  <c r="E1751" i="3"/>
  <c r="B1751" i="3"/>
  <c r="U1750" i="3"/>
  <c r="K1750" i="3"/>
  <c r="E1750" i="3"/>
  <c r="B1750" i="3"/>
  <c r="U1749" i="3"/>
  <c r="K1749" i="3"/>
  <c r="E1749" i="3"/>
  <c r="B1749" i="3"/>
  <c r="U1748" i="3"/>
  <c r="K1748" i="3"/>
  <c r="E1748" i="3"/>
  <c r="B1748" i="3"/>
  <c r="U1747" i="3"/>
  <c r="K1747" i="3"/>
  <c r="E1747" i="3"/>
  <c r="B1747" i="3"/>
  <c r="U1746" i="3"/>
  <c r="K1746" i="3"/>
  <c r="E1746" i="3"/>
  <c r="B1746" i="3"/>
  <c r="U1745" i="3"/>
  <c r="K1745" i="3"/>
  <c r="E1745" i="3"/>
  <c r="B1745" i="3"/>
  <c r="U1744" i="3"/>
  <c r="K1744" i="3"/>
  <c r="E1744" i="3"/>
  <c r="B1744" i="3"/>
  <c r="U1743" i="3"/>
  <c r="K1743" i="3"/>
  <c r="E1743" i="3"/>
  <c r="B1743" i="3"/>
  <c r="U1742" i="3"/>
  <c r="K1742" i="3"/>
  <c r="E1742" i="3"/>
  <c r="B1742" i="3"/>
  <c r="U1741" i="3"/>
  <c r="K1741" i="3"/>
  <c r="E1741" i="3"/>
  <c r="B1741" i="3"/>
  <c r="U1740" i="3"/>
  <c r="K1740" i="3"/>
  <c r="E1740" i="3"/>
  <c r="B1740" i="3"/>
  <c r="U1739" i="3"/>
  <c r="K1739" i="3"/>
  <c r="E1739" i="3"/>
  <c r="B1739" i="3"/>
  <c r="U1738" i="3"/>
  <c r="K1738" i="3"/>
  <c r="E1738" i="3"/>
  <c r="B1738" i="3"/>
  <c r="U1737" i="3"/>
  <c r="K1737" i="3"/>
  <c r="E1737" i="3"/>
  <c r="B1737" i="3"/>
  <c r="U1736" i="3"/>
  <c r="K1736" i="3"/>
  <c r="E1736" i="3"/>
  <c r="B1736" i="3"/>
  <c r="U1735" i="3"/>
  <c r="K1735" i="3"/>
  <c r="E1735" i="3"/>
  <c r="B1735" i="3"/>
  <c r="U1734" i="3"/>
  <c r="K1734" i="3"/>
  <c r="E1734" i="3"/>
  <c r="B1734" i="3"/>
  <c r="U1733" i="3"/>
  <c r="K1733" i="3"/>
  <c r="E1733" i="3"/>
  <c r="B1733" i="3"/>
  <c r="U1732" i="3"/>
  <c r="K1732" i="3"/>
  <c r="E1732" i="3"/>
  <c r="B1732" i="3"/>
  <c r="U1731" i="3"/>
  <c r="K1731" i="3"/>
  <c r="E1731" i="3"/>
  <c r="B1731" i="3"/>
  <c r="U1730" i="3"/>
  <c r="K1730" i="3"/>
  <c r="E1730" i="3"/>
  <c r="B1730" i="3"/>
  <c r="U1729" i="3"/>
  <c r="K1729" i="3"/>
  <c r="E1729" i="3"/>
  <c r="B1729" i="3"/>
  <c r="U1728" i="3"/>
  <c r="K1728" i="3"/>
  <c r="E1728" i="3"/>
  <c r="B1728" i="3"/>
  <c r="U1727" i="3"/>
  <c r="K1727" i="3"/>
  <c r="E1727" i="3"/>
  <c r="B1727" i="3"/>
  <c r="U1726" i="3"/>
  <c r="K1726" i="3"/>
  <c r="E1726" i="3"/>
  <c r="B1726" i="3"/>
  <c r="U1725" i="3"/>
  <c r="K1725" i="3"/>
  <c r="E1725" i="3"/>
  <c r="B1725" i="3"/>
  <c r="U1724" i="3"/>
  <c r="K1724" i="3"/>
  <c r="E1724" i="3"/>
  <c r="B1724" i="3"/>
  <c r="U1723" i="3"/>
  <c r="K1723" i="3"/>
  <c r="E1723" i="3"/>
  <c r="B1723" i="3"/>
  <c r="U1722" i="3"/>
  <c r="K1722" i="3"/>
  <c r="E1722" i="3"/>
  <c r="B1722" i="3"/>
  <c r="U1721" i="3"/>
  <c r="K1721" i="3"/>
  <c r="E1721" i="3"/>
  <c r="B1721" i="3"/>
  <c r="U1720" i="3"/>
  <c r="K1720" i="3"/>
  <c r="E1720" i="3"/>
  <c r="B1720" i="3"/>
  <c r="U1719" i="3"/>
  <c r="K1719" i="3"/>
  <c r="E1719" i="3"/>
  <c r="B1719" i="3"/>
  <c r="U1718" i="3"/>
  <c r="K1718" i="3"/>
  <c r="E1718" i="3"/>
  <c r="B1718" i="3"/>
  <c r="U1717" i="3"/>
  <c r="K1717" i="3"/>
  <c r="E1717" i="3"/>
  <c r="B1717" i="3"/>
  <c r="U1716" i="3"/>
  <c r="K1716" i="3"/>
  <c r="E1716" i="3"/>
  <c r="B1716" i="3"/>
  <c r="U1715" i="3"/>
  <c r="K1715" i="3"/>
  <c r="E1715" i="3"/>
  <c r="B1715" i="3"/>
  <c r="U1714" i="3"/>
  <c r="K1714" i="3"/>
  <c r="E1714" i="3"/>
  <c r="B1714" i="3"/>
  <c r="U1713" i="3"/>
  <c r="K1713" i="3"/>
  <c r="E1713" i="3"/>
  <c r="B1713" i="3"/>
  <c r="U1712" i="3"/>
  <c r="K1712" i="3"/>
  <c r="E1712" i="3"/>
  <c r="B1712" i="3"/>
  <c r="U1711" i="3"/>
  <c r="K1711" i="3"/>
  <c r="E1711" i="3"/>
  <c r="B1711" i="3"/>
  <c r="U1710" i="3"/>
  <c r="K1710" i="3"/>
  <c r="E1710" i="3"/>
  <c r="B1710" i="3"/>
  <c r="U1709" i="3"/>
  <c r="K1709" i="3"/>
  <c r="E1709" i="3"/>
  <c r="B1709" i="3"/>
  <c r="U1708" i="3"/>
  <c r="K1708" i="3"/>
  <c r="E1708" i="3"/>
  <c r="B1708" i="3"/>
  <c r="U1707" i="3"/>
  <c r="K1707" i="3"/>
  <c r="E1707" i="3"/>
  <c r="B1707" i="3"/>
  <c r="U1706" i="3"/>
  <c r="K1706" i="3"/>
  <c r="E1706" i="3"/>
  <c r="B1706" i="3"/>
  <c r="U1705" i="3"/>
  <c r="K1705" i="3"/>
  <c r="E1705" i="3"/>
  <c r="B1705" i="3"/>
  <c r="U1704" i="3"/>
  <c r="K1704" i="3"/>
  <c r="E1704" i="3"/>
  <c r="B1704" i="3"/>
  <c r="U1703" i="3"/>
  <c r="K1703" i="3"/>
  <c r="E1703" i="3"/>
  <c r="B1703" i="3"/>
  <c r="U1702" i="3"/>
  <c r="K1702" i="3"/>
  <c r="E1702" i="3"/>
  <c r="B1702" i="3"/>
  <c r="U1701" i="3"/>
  <c r="K1701" i="3"/>
  <c r="E1701" i="3"/>
  <c r="B1701" i="3"/>
  <c r="U1700" i="3"/>
  <c r="K1700" i="3"/>
  <c r="E1700" i="3"/>
  <c r="B1700" i="3"/>
  <c r="U1699" i="3"/>
  <c r="K1699" i="3"/>
  <c r="E1699" i="3"/>
  <c r="B1699" i="3"/>
  <c r="U1698" i="3"/>
  <c r="K1698" i="3"/>
  <c r="E1698" i="3"/>
  <c r="B1698" i="3"/>
  <c r="U1697" i="3"/>
  <c r="K1697" i="3"/>
  <c r="E1697" i="3"/>
  <c r="B1697" i="3"/>
  <c r="U1696" i="3"/>
  <c r="K1696" i="3"/>
  <c r="E1696" i="3"/>
  <c r="B1696" i="3"/>
  <c r="U1695" i="3"/>
  <c r="K1695" i="3"/>
  <c r="E1695" i="3"/>
  <c r="B1695" i="3"/>
  <c r="U1694" i="3"/>
  <c r="K1694" i="3"/>
  <c r="E1694" i="3"/>
  <c r="B1694" i="3"/>
  <c r="U1693" i="3"/>
  <c r="K1693" i="3"/>
  <c r="E1693" i="3"/>
  <c r="B1693" i="3"/>
  <c r="U1692" i="3"/>
  <c r="K1692" i="3"/>
  <c r="E1692" i="3"/>
  <c r="B1692" i="3"/>
  <c r="U1691" i="3"/>
  <c r="K1691" i="3"/>
  <c r="E1691" i="3"/>
  <c r="B1691" i="3"/>
  <c r="U1690" i="3"/>
  <c r="K1690" i="3"/>
  <c r="E1690" i="3"/>
  <c r="B1690" i="3"/>
  <c r="U1689" i="3"/>
  <c r="K1689" i="3"/>
  <c r="E1689" i="3"/>
  <c r="B1689" i="3"/>
  <c r="U1688" i="3"/>
  <c r="K1688" i="3"/>
  <c r="E1688" i="3"/>
  <c r="B1688" i="3"/>
  <c r="U1687" i="3"/>
  <c r="K1687" i="3"/>
  <c r="E1687" i="3"/>
  <c r="B1687" i="3"/>
  <c r="U1686" i="3"/>
  <c r="K1686" i="3"/>
  <c r="E1686" i="3"/>
  <c r="B1686" i="3"/>
  <c r="U1685" i="3"/>
  <c r="K1685" i="3"/>
  <c r="E1685" i="3"/>
  <c r="B1685" i="3"/>
  <c r="U1684" i="3"/>
  <c r="K1684" i="3"/>
  <c r="E1684" i="3"/>
  <c r="B1684" i="3"/>
  <c r="U1683" i="3"/>
  <c r="K1683" i="3"/>
  <c r="E1683" i="3"/>
  <c r="B1683" i="3"/>
  <c r="U1682" i="3"/>
  <c r="K1682" i="3"/>
  <c r="E1682" i="3"/>
  <c r="B1682" i="3"/>
  <c r="U1681" i="3"/>
  <c r="K1681" i="3"/>
  <c r="E1681" i="3"/>
  <c r="B1681" i="3"/>
  <c r="U1680" i="3"/>
  <c r="K1680" i="3"/>
  <c r="E1680" i="3"/>
  <c r="B1680" i="3"/>
  <c r="U1679" i="3"/>
  <c r="K1679" i="3"/>
  <c r="E1679" i="3"/>
  <c r="B1679" i="3"/>
  <c r="U1678" i="3"/>
  <c r="K1678" i="3"/>
  <c r="E1678" i="3"/>
  <c r="B1678" i="3"/>
  <c r="U1677" i="3"/>
  <c r="K1677" i="3"/>
  <c r="E1677" i="3"/>
  <c r="B1677" i="3"/>
  <c r="U1676" i="3"/>
  <c r="K1676" i="3"/>
  <c r="E1676" i="3"/>
  <c r="B1676" i="3"/>
  <c r="U1675" i="3"/>
  <c r="K1675" i="3"/>
  <c r="E1675" i="3"/>
  <c r="B1675" i="3"/>
  <c r="U1674" i="3"/>
  <c r="K1674" i="3"/>
  <c r="E1674" i="3"/>
  <c r="B1674" i="3"/>
  <c r="U1673" i="3"/>
  <c r="K1673" i="3"/>
  <c r="E1673" i="3"/>
  <c r="B1673" i="3"/>
  <c r="U1672" i="3"/>
  <c r="K1672" i="3"/>
  <c r="E1672" i="3"/>
  <c r="B1672" i="3"/>
  <c r="U1671" i="3"/>
  <c r="K1671" i="3"/>
  <c r="E1671" i="3"/>
  <c r="B1671" i="3"/>
  <c r="U1670" i="3"/>
  <c r="K1670" i="3"/>
  <c r="E1670" i="3"/>
  <c r="B1670" i="3"/>
  <c r="U1669" i="3"/>
  <c r="K1669" i="3"/>
  <c r="E1669" i="3"/>
  <c r="B1669" i="3"/>
  <c r="U1668" i="3"/>
  <c r="K1668" i="3"/>
  <c r="E1668" i="3"/>
  <c r="B1668" i="3"/>
  <c r="U1667" i="3"/>
  <c r="K1667" i="3"/>
  <c r="E1667" i="3"/>
  <c r="B1667" i="3"/>
  <c r="U1666" i="3"/>
  <c r="K1666" i="3"/>
  <c r="E1666" i="3"/>
  <c r="B1666" i="3"/>
  <c r="U1665" i="3"/>
  <c r="K1665" i="3"/>
  <c r="E1665" i="3"/>
  <c r="B1665" i="3"/>
  <c r="U1664" i="3"/>
  <c r="K1664" i="3"/>
  <c r="E1664" i="3"/>
  <c r="B1664" i="3"/>
  <c r="U1663" i="3"/>
  <c r="K1663" i="3"/>
  <c r="E1663" i="3"/>
  <c r="B1663" i="3"/>
  <c r="U1662" i="3"/>
  <c r="K1662" i="3"/>
  <c r="E1662" i="3"/>
  <c r="B1662" i="3"/>
  <c r="U1661" i="3"/>
  <c r="K1661" i="3"/>
  <c r="E1661" i="3"/>
  <c r="B1661" i="3"/>
  <c r="U1660" i="3"/>
  <c r="K1660" i="3"/>
  <c r="E1660" i="3"/>
  <c r="B1660" i="3"/>
  <c r="U1659" i="3"/>
  <c r="K1659" i="3"/>
  <c r="E1659" i="3"/>
  <c r="B1659" i="3"/>
  <c r="U1658" i="3"/>
  <c r="K1658" i="3"/>
  <c r="E1658" i="3"/>
  <c r="B1658" i="3"/>
  <c r="U1657" i="3"/>
  <c r="K1657" i="3"/>
  <c r="E1657" i="3"/>
  <c r="B1657" i="3"/>
  <c r="U1656" i="3"/>
  <c r="K1656" i="3"/>
  <c r="E1656" i="3"/>
  <c r="B1656" i="3"/>
  <c r="U1655" i="3"/>
  <c r="K1655" i="3"/>
  <c r="E1655" i="3"/>
  <c r="B1655" i="3"/>
  <c r="U1654" i="3"/>
  <c r="K1654" i="3"/>
  <c r="E1654" i="3"/>
  <c r="B1654" i="3"/>
  <c r="U1653" i="3"/>
  <c r="K1653" i="3"/>
  <c r="E1653" i="3"/>
  <c r="B1653" i="3"/>
  <c r="U1652" i="3"/>
  <c r="K1652" i="3"/>
  <c r="E1652" i="3"/>
  <c r="B1652" i="3"/>
  <c r="U1651" i="3"/>
  <c r="K1651" i="3"/>
  <c r="E1651" i="3"/>
  <c r="B1651" i="3"/>
  <c r="U1650" i="3"/>
  <c r="K1650" i="3"/>
  <c r="E1650" i="3"/>
  <c r="B1650" i="3"/>
  <c r="U1649" i="3"/>
  <c r="K1649" i="3"/>
  <c r="E1649" i="3"/>
  <c r="B1649" i="3"/>
  <c r="U1648" i="3"/>
  <c r="K1648" i="3"/>
  <c r="E1648" i="3"/>
  <c r="B1648" i="3"/>
  <c r="U1647" i="3"/>
  <c r="K1647" i="3"/>
  <c r="E1647" i="3"/>
  <c r="B1647" i="3"/>
  <c r="U1646" i="3"/>
  <c r="K1646" i="3"/>
  <c r="E1646" i="3"/>
  <c r="B1646" i="3"/>
  <c r="U1645" i="3"/>
  <c r="K1645" i="3"/>
  <c r="E1645" i="3"/>
  <c r="B1645" i="3"/>
  <c r="U1644" i="3"/>
  <c r="K1644" i="3"/>
  <c r="E1644" i="3"/>
  <c r="B1644" i="3"/>
  <c r="U1643" i="3"/>
  <c r="K1643" i="3"/>
  <c r="E1643" i="3"/>
  <c r="B1643" i="3"/>
  <c r="U1642" i="3"/>
  <c r="K1642" i="3"/>
  <c r="E1642" i="3"/>
  <c r="B1642" i="3"/>
  <c r="U1641" i="3"/>
  <c r="K1641" i="3"/>
  <c r="E1641" i="3"/>
  <c r="B1641" i="3"/>
  <c r="U1640" i="3"/>
  <c r="K1640" i="3"/>
  <c r="E1640" i="3"/>
  <c r="B1640" i="3"/>
  <c r="U1639" i="3"/>
  <c r="K1639" i="3"/>
  <c r="E1639" i="3"/>
  <c r="B1639" i="3"/>
  <c r="U1638" i="3"/>
  <c r="K1638" i="3"/>
  <c r="E1638" i="3"/>
  <c r="B1638" i="3"/>
  <c r="U1637" i="3"/>
  <c r="K1637" i="3"/>
  <c r="E1637" i="3"/>
  <c r="B1637" i="3"/>
  <c r="U1636" i="3"/>
  <c r="K1636" i="3"/>
  <c r="E1636" i="3"/>
  <c r="B1636" i="3"/>
  <c r="U1635" i="3"/>
  <c r="K1635" i="3"/>
  <c r="E1635" i="3"/>
  <c r="B1635" i="3"/>
  <c r="U1634" i="3"/>
  <c r="K1634" i="3"/>
  <c r="E1634" i="3"/>
  <c r="B1634" i="3"/>
  <c r="U1633" i="3"/>
  <c r="K1633" i="3"/>
  <c r="E1633" i="3"/>
  <c r="B1633" i="3"/>
  <c r="U1632" i="3"/>
  <c r="K1632" i="3"/>
  <c r="E1632" i="3"/>
  <c r="B1632" i="3"/>
  <c r="U1631" i="3"/>
  <c r="K1631" i="3"/>
  <c r="E1631" i="3"/>
  <c r="B1631" i="3"/>
  <c r="U1630" i="3"/>
  <c r="K1630" i="3"/>
  <c r="E1630" i="3"/>
  <c r="B1630" i="3"/>
  <c r="U1629" i="3"/>
  <c r="K1629" i="3"/>
  <c r="E1629" i="3"/>
  <c r="B1629" i="3"/>
  <c r="U1628" i="3"/>
  <c r="K1628" i="3"/>
  <c r="E1628" i="3"/>
  <c r="B1628" i="3"/>
  <c r="U1627" i="3"/>
  <c r="K1627" i="3"/>
  <c r="E1627" i="3"/>
  <c r="B1627" i="3"/>
  <c r="U1626" i="3"/>
  <c r="K1626" i="3"/>
  <c r="E1626" i="3"/>
  <c r="B1626" i="3"/>
  <c r="U1625" i="3"/>
  <c r="K1625" i="3"/>
  <c r="E1625" i="3"/>
  <c r="B1625" i="3"/>
  <c r="U1624" i="3"/>
  <c r="K1624" i="3"/>
  <c r="E1624" i="3"/>
  <c r="B1624" i="3"/>
  <c r="U1623" i="3"/>
  <c r="K1623" i="3"/>
  <c r="E1623" i="3"/>
  <c r="B1623" i="3"/>
  <c r="U1622" i="3"/>
  <c r="K1622" i="3"/>
  <c r="E1622" i="3"/>
  <c r="B1622" i="3"/>
  <c r="U1621" i="3"/>
  <c r="K1621" i="3"/>
  <c r="E1621" i="3"/>
  <c r="B1621" i="3"/>
  <c r="U1620" i="3"/>
  <c r="K1620" i="3"/>
  <c r="E1620" i="3"/>
  <c r="B1620" i="3"/>
  <c r="U1619" i="3"/>
  <c r="K1619" i="3"/>
  <c r="E1619" i="3"/>
  <c r="B1619" i="3"/>
  <c r="U1618" i="3"/>
  <c r="K1618" i="3"/>
  <c r="E1618" i="3"/>
  <c r="B1618" i="3"/>
  <c r="U1617" i="3"/>
  <c r="K1617" i="3"/>
  <c r="E1617" i="3"/>
  <c r="B1617" i="3"/>
  <c r="U1616" i="3"/>
  <c r="K1616" i="3"/>
  <c r="E1616" i="3"/>
  <c r="B1616" i="3"/>
  <c r="U1615" i="3"/>
  <c r="K1615" i="3"/>
  <c r="E1615" i="3"/>
  <c r="B1615" i="3"/>
  <c r="U1614" i="3"/>
  <c r="K1614" i="3"/>
  <c r="E1614" i="3"/>
  <c r="B1614" i="3"/>
  <c r="U1613" i="3"/>
  <c r="K1613" i="3"/>
  <c r="E1613" i="3"/>
  <c r="B1613" i="3"/>
  <c r="U1612" i="3"/>
  <c r="K1612" i="3"/>
  <c r="E1612" i="3"/>
  <c r="B1612" i="3"/>
  <c r="U1611" i="3"/>
  <c r="K1611" i="3"/>
  <c r="E1611" i="3"/>
  <c r="B1611" i="3"/>
  <c r="U1610" i="3"/>
  <c r="K1610" i="3"/>
  <c r="E1610" i="3"/>
  <c r="B1610" i="3"/>
  <c r="U1609" i="3"/>
  <c r="K1609" i="3"/>
  <c r="E1609" i="3"/>
  <c r="B1609" i="3"/>
  <c r="U1608" i="3"/>
  <c r="K1608" i="3"/>
  <c r="E1608" i="3"/>
  <c r="B1608" i="3"/>
  <c r="U1607" i="3"/>
  <c r="K1607" i="3"/>
  <c r="E1607" i="3"/>
  <c r="B1607" i="3"/>
  <c r="U1606" i="3"/>
  <c r="K1606" i="3"/>
  <c r="E1606" i="3"/>
  <c r="B1606" i="3"/>
  <c r="U1605" i="3"/>
  <c r="K1605" i="3"/>
  <c r="E1605" i="3"/>
  <c r="B1605" i="3"/>
  <c r="U1604" i="3"/>
  <c r="K1604" i="3"/>
  <c r="E1604" i="3"/>
  <c r="B1604" i="3"/>
  <c r="U1603" i="3"/>
  <c r="K1603" i="3"/>
  <c r="E1603" i="3"/>
  <c r="B1603" i="3"/>
  <c r="U1602" i="3"/>
  <c r="K1602" i="3"/>
  <c r="E1602" i="3"/>
  <c r="B1602" i="3"/>
  <c r="U1601" i="3"/>
  <c r="K1601" i="3"/>
  <c r="E1601" i="3"/>
  <c r="B1601" i="3"/>
  <c r="U1600" i="3"/>
  <c r="K1600" i="3"/>
  <c r="E1600" i="3"/>
  <c r="B1600" i="3"/>
  <c r="U1599" i="3"/>
  <c r="K1599" i="3"/>
  <c r="E1599" i="3"/>
  <c r="B1599" i="3"/>
  <c r="U1598" i="3"/>
  <c r="K1598" i="3"/>
  <c r="E1598" i="3"/>
  <c r="B1598" i="3"/>
  <c r="U1597" i="3"/>
  <c r="K1597" i="3"/>
  <c r="E1597" i="3"/>
  <c r="B1597" i="3"/>
  <c r="U1596" i="3"/>
  <c r="K1596" i="3"/>
  <c r="E1596" i="3"/>
  <c r="B1596" i="3"/>
  <c r="U1595" i="3"/>
  <c r="K1595" i="3"/>
  <c r="E1595" i="3"/>
  <c r="B1595" i="3"/>
  <c r="U1594" i="3"/>
  <c r="K1594" i="3"/>
  <c r="E1594" i="3"/>
  <c r="B1594" i="3"/>
  <c r="U1593" i="3"/>
  <c r="K1593" i="3"/>
  <c r="E1593" i="3"/>
  <c r="B1593" i="3"/>
  <c r="U1592" i="3"/>
  <c r="K1592" i="3"/>
  <c r="E1592" i="3"/>
  <c r="B1592" i="3"/>
  <c r="U1591" i="3"/>
  <c r="K1591" i="3"/>
  <c r="E1591" i="3"/>
  <c r="B1591" i="3"/>
  <c r="U1590" i="3"/>
  <c r="K1590" i="3"/>
  <c r="E1590" i="3"/>
  <c r="B1590" i="3"/>
  <c r="U1589" i="3"/>
  <c r="K1589" i="3"/>
  <c r="E1589" i="3"/>
  <c r="B1589" i="3"/>
  <c r="U1588" i="3"/>
  <c r="K1588" i="3"/>
  <c r="E1588" i="3"/>
  <c r="B1588" i="3"/>
  <c r="U1587" i="3"/>
  <c r="K1587" i="3"/>
  <c r="E1587" i="3"/>
  <c r="B1587" i="3"/>
  <c r="U1586" i="3"/>
  <c r="K1586" i="3"/>
  <c r="E1586" i="3"/>
  <c r="B1586" i="3"/>
  <c r="U1585" i="3"/>
  <c r="K1585" i="3"/>
  <c r="E1585" i="3"/>
  <c r="B1585" i="3"/>
  <c r="K1584" i="3"/>
  <c r="E1584" i="3"/>
  <c r="B1584" i="3"/>
  <c r="U1583" i="3"/>
  <c r="K1583" i="3"/>
  <c r="E1583" i="3"/>
  <c r="B1583" i="3"/>
  <c r="U1582" i="3"/>
  <c r="K1582" i="3"/>
  <c r="E1582" i="3"/>
  <c r="B1582" i="3"/>
  <c r="U1581" i="3"/>
  <c r="K1581" i="3"/>
  <c r="E1581" i="3"/>
  <c r="B1581" i="3"/>
  <c r="U1580" i="3"/>
  <c r="K1580" i="3"/>
  <c r="E1580" i="3"/>
  <c r="B1580" i="3"/>
  <c r="U1579" i="3"/>
  <c r="K1579" i="3"/>
  <c r="E1579" i="3"/>
  <c r="B1579" i="3"/>
  <c r="U1578" i="3"/>
  <c r="K1578" i="3"/>
  <c r="E1578" i="3"/>
  <c r="B1578" i="3"/>
  <c r="U1577" i="3"/>
  <c r="K1577" i="3"/>
  <c r="E1577" i="3"/>
  <c r="B1577" i="3"/>
  <c r="U1576" i="3"/>
  <c r="K1576" i="3"/>
  <c r="E1576" i="3"/>
  <c r="B1576" i="3"/>
  <c r="U1575" i="3"/>
  <c r="K1575" i="3"/>
  <c r="E1575" i="3"/>
  <c r="B1575" i="3"/>
  <c r="U1574" i="3"/>
  <c r="K1574" i="3"/>
  <c r="E1574" i="3"/>
  <c r="B1574" i="3"/>
  <c r="U1573" i="3"/>
  <c r="K1573" i="3"/>
  <c r="E1573" i="3"/>
  <c r="B1573" i="3"/>
  <c r="U1572" i="3"/>
  <c r="K1572" i="3"/>
  <c r="E1572" i="3"/>
  <c r="B1572" i="3"/>
  <c r="U1571" i="3"/>
  <c r="K1571" i="3"/>
  <c r="E1571" i="3"/>
  <c r="B1571" i="3"/>
  <c r="U1570" i="3"/>
  <c r="K1570" i="3"/>
  <c r="E1570" i="3"/>
  <c r="B1570" i="3"/>
  <c r="U1569" i="3"/>
  <c r="K1569" i="3"/>
  <c r="E1569" i="3"/>
  <c r="B1569" i="3"/>
  <c r="U1568" i="3"/>
  <c r="K1568" i="3"/>
  <c r="E1568" i="3"/>
  <c r="B1568" i="3"/>
  <c r="U1567" i="3"/>
  <c r="K1567" i="3"/>
  <c r="E1567" i="3"/>
  <c r="B1567" i="3"/>
  <c r="U1566" i="3"/>
  <c r="K1566" i="3"/>
  <c r="E1566" i="3"/>
  <c r="B1566" i="3"/>
  <c r="U1565" i="3"/>
  <c r="K1565" i="3"/>
  <c r="E1565" i="3"/>
  <c r="B1565" i="3"/>
  <c r="U1564" i="3"/>
  <c r="K1564" i="3"/>
  <c r="E1564" i="3"/>
  <c r="B1564" i="3"/>
  <c r="U1563" i="3"/>
  <c r="K1563" i="3"/>
  <c r="E1563" i="3"/>
  <c r="B1563" i="3"/>
  <c r="U1562" i="3"/>
  <c r="K1562" i="3"/>
  <c r="E1562" i="3"/>
  <c r="B1562" i="3"/>
  <c r="U1561" i="3"/>
  <c r="K1561" i="3"/>
  <c r="E1561" i="3"/>
  <c r="B1561" i="3"/>
  <c r="U1560" i="3"/>
  <c r="K1560" i="3"/>
  <c r="E1560" i="3"/>
  <c r="B1560" i="3"/>
  <c r="U1559" i="3"/>
  <c r="K1559" i="3"/>
  <c r="E1559" i="3"/>
  <c r="B1559" i="3"/>
  <c r="U1558" i="3"/>
  <c r="K1558" i="3"/>
  <c r="E1558" i="3"/>
  <c r="B1558" i="3"/>
  <c r="U1557" i="3"/>
  <c r="K1557" i="3"/>
  <c r="E1557" i="3"/>
  <c r="B1557" i="3"/>
  <c r="U1556" i="3"/>
  <c r="K1556" i="3"/>
  <c r="E1556" i="3"/>
  <c r="B1556" i="3"/>
  <c r="U1555" i="3"/>
  <c r="K1555" i="3"/>
  <c r="E1555" i="3"/>
  <c r="B1555" i="3"/>
  <c r="U1554" i="3"/>
  <c r="K1554" i="3"/>
  <c r="E1554" i="3"/>
  <c r="B1554" i="3"/>
  <c r="U1553" i="3"/>
  <c r="K1553" i="3"/>
  <c r="E1553" i="3"/>
  <c r="B1553" i="3"/>
  <c r="U1552" i="3"/>
  <c r="K1552" i="3"/>
  <c r="E1552" i="3"/>
  <c r="B1552" i="3"/>
  <c r="U1551" i="3"/>
  <c r="K1551" i="3"/>
  <c r="E1551" i="3"/>
  <c r="B1551" i="3"/>
  <c r="U1550" i="3"/>
  <c r="K1550" i="3"/>
  <c r="E1550" i="3"/>
  <c r="B1550" i="3"/>
  <c r="U1549" i="3"/>
  <c r="K1549" i="3"/>
  <c r="E1549" i="3"/>
  <c r="B1549" i="3"/>
  <c r="U1548" i="3"/>
  <c r="K1548" i="3"/>
  <c r="E1548" i="3"/>
  <c r="B1548" i="3"/>
  <c r="U1547" i="3"/>
  <c r="K1547" i="3"/>
  <c r="E1547" i="3"/>
  <c r="B1547" i="3"/>
  <c r="U1546" i="3"/>
  <c r="K1546" i="3"/>
  <c r="E1546" i="3"/>
  <c r="B1546" i="3"/>
  <c r="U1545" i="3"/>
  <c r="K1545" i="3"/>
  <c r="E1545" i="3"/>
  <c r="B1545" i="3"/>
  <c r="U1544" i="3"/>
  <c r="K1544" i="3"/>
  <c r="E1544" i="3"/>
  <c r="B1544" i="3"/>
  <c r="U1543" i="3"/>
  <c r="K1543" i="3"/>
  <c r="E1543" i="3"/>
  <c r="B1543" i="3"/>
  <c r="U1542" i="3"/>
  <c r="K1542" i="3"/>
  <c r="E1542" i="3"/>
  <c r="B1542" i="3"/>
  <c r="U1541" i="3"/>
  <c r="K1541" i="3"/>
  <c r="E1541" i="3"/>
  <c r="B1541" i="3"/>
  <c r="U1540" i="3"/>
  <c r="K1540" i="3"/>
  <c r="E1540" i="3"/>
  <c r="B1540" i="3"/>
  <c r="U1539" i="3"/>
  <c r="K1539" i="3"/>
  <c r="E1539" i="3"/>
  <c r="B1539" i="3"/>
  <c r="U1538" i="3"/>
  <c r="K1538" i="3"/>
  <c r="E1538" i="3"/>
  <c r="B1538" i="3"/>
  <c r="U1537" i="3"/>
  <c r="K1537" i="3"/>
  <c r="E1537" i="3"/>
  <c r="B1537" i="3"/>
  <c r="U1536" i="3"/>
  <c r="K1536" i="3"/>
  <c r="E1536" i="3"/>
  <c r="B1536" i="3"/>
  <c r="U1535" i="3"/>
  <c r="K1535" i="3"/>
  <c r="E1535" i="3"/>
  <c r="B1535" i="3"/>
  <c r="U1534" i="3"/>
  <c r="K1534" i="3"/>
  <c r="E1534" i="3"/>
  <c r="B1534" i="3"/>
  <c r="U1533" i="3"/>
  <c r="K1533" i="3"/>
  <c r="E1533" i="3"/>
  <c r="B1533" i="3"/>
  <c r="U1532" i="3"/>
  <c r="K1532" i="3"/>
  <c r="E1532" i="3"/>
  <c r="B1532" i="3"/>
  <c r="U1531" i="3"/>
  <c r="K1531" i="3"/>
  <c r="E1531" i="3"/>
  <c r="B1531" i="3"/>
  <c r="U1530" i="3"/>
  <c r="K1530" i="3"/>
  <c r="E1530" i="3"/>
  <c r="B1530" i="3"/>
  <c r="U1529" i="3"/>
  <c r="K1529" i="3"/>
  <c r="E1529" i="3"/>
  <c r="B1529" i="3"/>
  <c r="U1528" i="3"/>
  <c r="K1528" i="3"/>
  <c r="E1528" i="3"/>
  <c r="B1528" i="3"/>
  <c r="U1527" i="3"/>
  <c r="K1527" i="3"/>
  <c r="E1527" i="3"/>
  <c r="B1527" i="3"/>
  <c r="U1526" i="3"/>
  <c r="K1526" i="3"/>
  <c r="E1526" i="3"/>
  <c r="B1526" i="3"/>
  <c r="U1525" i="3"/>
  <c r="K1525" i="3"/>
  <c r="E1525" i="3"/>
  <c r="B1525" i="3"/>
  <c r="U1524" i="3"/>
  <c r="K1524" i="3"/>
  <c r="E1524" i="3"/>
  <c r="B1524" i="3"/>
  <c r="U1523" i="3"/>
  <c r="K1523" i="3"/>
  <c r="E1523" i="3"/>
  <c r="B1523" i="3"/>
  <c r="U1522" i="3"/>
  <c r="K1522" i="3"/>
  <c r="E1522" i="3"/>
  <c r="B1522" i="3"/>
  <c r="U1521" i="3"/>
  <c r="K1521" i="3"/>
  <c r="E1521" i="3"/>
  <c r="B1521" i="3"/>
  <c r="U1520" i="3"/>
  <c r="K1520" i="3"/>
  <c r="E1520" i="3"/>
  <c r="B1520" i="3"/>
  <c r="U1519" i="3"/>
  <c r="K1519" i="3"/>
  <c r="E1519" i="3"/>
  <c r="B1519" i="3"/>
  <c r="U1518" i="3"/>
  <c r="K1518" i="3"/>
  <c r="E1518" i="3"/>
  <c r="B1518" i="3"/>
  <c r="U1517" i="3"/>
  <c r="K1517" i="3"/>
  <c r="E1517" i="3"/>
  <c r="B1517" i="3"/>
  <c r="U1516" i="3"/>
  <c r="K1516" i="3"/>
  <c r="E1516" i="3"/>
  <c r="B1516" i="3"/>
  <c r="U1515" i="3"/>
  <c r="K1515" i="3"/>
  <c r="E1515" i="3"/>
  <c r="B1515" i="3"/>
  <c r="U1514" i="3"/>
  <c r="K1514" i="3"/>
  <c r="E1514" i="3"/>
  <c r="B1514" i="3"/>
  <c r="U1513" i="3"/>
  <c r="K1513" i="3"/>
  <c r="E1513" i="3"/>
  <c r="B1513" i="3"/>
  <c r="U1512" i="3"/>
  <c r="K1512" i="3"/>
  <c r="E1512" i="3"/>
  <c r="B1512" i="3"/>
  <c r="U1511" i="3"/>
  <c r="K1511" i="3"/>
  <c r="E1511" i="3"/>
  <c r="B1511" i="3"/>
  <c r="U1510" i="3"/>
  <c r="K1510" i="3"/>
  <c r="E1510" i="3"/>
  <c r="B1510" i="3"/>
  <c r="U1509" i="3"/>
  <c r="K1509" i="3"/>
  <c r="E1509" i="3"/>
  <c r="B1509" i="3"/>
  <c r="U1508" i="3"/>
  <c r="K1508" i="3"/>
  <c r="E1508" i="3"/>
  <c r="B1508" i="3"/>
  <c r="U1507" i="3"/>
  <c r="K1507" i="3"/>
  <c r="E1507" i="3"/>
  <c r="B1507" i="3"/>
  <c r="U1506" i="3"/>
  <c r="K1506" i="3"/>
  <c r="E1506" i="3"/>
  <c r="B1506" i="3"/>
  <c r="U1505" i="3"/>
  <c r="K1505" i="3"/>
  <c r="E1505" i="3"/>
  <c r="B1505" i="3"/>
  <c r="U1504" i="3"/>
  <c r="K1504" i="3"/>
  <c r="E1504" i="3"/>
  <c r="B1504" i="3"/>
  <c r="U1503" i="3"/>
  <c r="K1503" i="3"/>
  <c r="E1503" i="3"/>
  <c r="B1503" i="3"/>
  <c r="U1502" i="3"/>
  <c r="K1502" i="3"/>
  <c r="E1502" i="3"/>
  <c r="B1502" i="3"/>
  <c r="K1501" i="3"/>
  <c r="E1501" i="3"/>
  <c r="B1501" i="3"/>
  <c r="U1500" i="3"/>
  <c r="K1500" i="3"/>
  <c r="E1500" i="3"/>
  <c r="B1500" i="3"/>
  <c r="U1499" i="3"/>
  <c r="K1499" i="3"/>
  <c r="E1499" i="3"/>
  <c r="B1499" i="3"/>
  <c r="U1498" i="3"/>
  <c r="K1498" i="3"/>
  <c r="E1498" i="3"/>
  <c r="B1498" i="3"/>
  <c r="U1497" i="3"/>
  <c r="K1497" i="3"/>
  <c r="E1497" i="3"/>
  <c r="B1497" i="3"/>
  <c r="U1496" i="3"/>
  <c r="K1496" i="3"/>
  <c r="E1496" i="3"/>
  <c r="B1496" i="3"/>
  <c r="U1495" i="3"/>
  <c r="K1495" i="3"/>
  <c r="E1495" i="3"/>
  <c r="B1495" i="3"/>
  <c r="U1494" i="3"/>
  <c r="K1494" i="3"/>
  <c r="E1494" i="3"/>
  <c r="B1494" i="3"/>
  <c r="U1493" i="3"/>
  <c r="K1493" i="3"/>
  <c r="E1493" i="3"/>
  <c r="B1493" i="3"/>
  <c r="U1492" i="3"/>
  <c r="K1492" i="3"/>
  <c r="E1492" i="3"/>
  <c r="B1492" i="3"/>
  <c r="U1491" i="3"/>
  <c r="K1491" i="3"/>
  <c r="E1491" i="3"/>
  <c r="B1491" i="3"/>
  <c r="U1490" i="3"/>
  <c r="K1490" i="3"/>
  <c r="E1490" i="3"/>
  <c r="B1490" i="3"/>
  <c r="U1489" i="3"/>
  <c r="K1489" i="3"/>
  <c r="E1489" i="3"/>
  <c r="B1489" i="3"/>
  <c r="U1488" i="3"/>
  <c r="K1488" i="3"/>
  <c r="E1488" i="3"/>
  <c r="B1488" i="3"/>
  <c r="U1487" i="3"/>
  <c r="K1487" i="3"/>
  <c r="E1487" i="3"/>
  <c r="B1487" i="3"/>
  <c r="U1486" i="3"/>
  <c r="K1486" i="3"/>
  <c r="E1486" i="3"/>
  <c r="B1486" i="3"/>
  <c r="U1485" i="3"/>
  <c r="K1485" i="3"/>
  <c r="E1485" i="3"/>
  <c r="B1485" i="3"/>
  <c r="U1484" i="3"/>
  <c r="K1484" i="3"/>
  <c r="E1484" i="3"/>
  <c r="B1484" i="3"/>
  <c r="U1483" i="3"/>
  <c r="K1483" i="3"/>
  <c r="E1483" i="3"/>
  <c r="B1483" i="3"/>
  <c r="U1482" i="3"/>
  <c r="K1482" i="3"/>
  <c r="E1482" i="3"/>
  <c r="B1482" i="3"/>
  <c r="U1481" i="3"/>
  <c r="K1481" i="3"/>
  <c r="E1481" i="3"/>
  <c r="B1481" i="3"/>
  <c r="U1480" i="3"/>
  <c r="K1480" i="3"/>
  <c r="E1480" i="3"/>
  <c r="B1480" i="3"/>
  <c r="U1479" i="3"/>
  <c r="K1479" i="3"/>
  <c r="E1479" i="3"/>
  <c r="B1479" i="3"/>
  <c r="U1478" i="3"/>
  <c r="K1478" i="3"/>
  <c r="E1478" i="3"/>
  <c r="B1478" i="3"/>
  <c r="U1477" i="3"/>
  <c r="K1477" i="3"/>
  <c r="E1477" i="3"/>
  <c r="B1477" i="3"/>
  <c r="U1476" i="3"/>
  <c r="K1476" i="3"/>
  <c r="E1476" i="3"/>
  <c r="B1476" i="3"/>
  <c r="U1475" i="3"/>
  <c r="K1475" i="3"/>
  <c r="E1475" i="3"/>
  <c r="B1475" i="3"/>
  <c r="K1474" i="3"/>
  <c r="E1474" i="3"/>
  <c r="B1474" i="3"/>
  <c r="U1473" i="3"/>
  <c r="K1473" i="3"/>
  <c r="E1473" i="3"/>
  <c r="B1473" i="3"/>
  <c r="U1472" i="3"/>
  <c r="K1472" i="3"/>
  <c r="E1472" i="3"/>
  <c r="B1472" i="3"/>
  <c r="U1471" i="3"/>
  <c r="K1471" i="3"/>
  <c r="E1471" i="3"/>
  <c r="B1471" i="3"/>
  <c r="U1470" i="3"/>
  <c r="K1470" i="3"/>
  <c r="E1470" i="3"/>
  <c r="B1470" i="3"/>
  <c r="U1469" i="3"/>
  <c r="K1469" i="3"/>
  <c r="E1469" i="3"/>
  <c r="B1469" i="3"/>
  <c r="U1468" i="3"/>
  <c r="K1468" i="3"/>
  <c r="E1468" i="3"/>
  <c r="B1468" i="3"/>
  <c r="U1467" i="3"/>
  <c r="K1467" i="3"/>
  <c r="E1467" i="3"/>
  <c r="B1467" i="3"/>
  <c r="U1466" i="3"/>
  <c r="K1466" i="3"/>
  <c r="E1466" i="3"/>
  <c r="B1466" i="3"/>
  <c r="U1465" i="3"/>
  <c r="K1465" i="3"/>
  <c r="E1465" i="3"/>
  <c r="B1465" i="3"/>
  <c r="U1464" i="3"/>
  <c r="K1464" i="3"/>
  <c r="E1464" i="3"/>
  <c r="B1464" i="3"/>
  <c r="U1463" i="3"/>
  <c r="K1463" i="3"/>
  <c r="E1463" i="3"/>
  <c r="B1463" i="3"/>
  <c r="U1462" i="3"/>
  <c r="K1462" i="3"/>
  <c r="E1462" i="3"/>
  <c r="B1462" i="3"/>
  <c r="U1461" i="3"/>
  <c r="K1461" i="3"/>
  <c r="E1461" i="3"/>
  <c r="B1461" i="3"/>
  <c r="U1460" i="3"/>
  <c r="K1460" i="3"/>
  <c r="E1460" i="3"/>
  <c r="B1460" i="3"/>
  <c r="U1459" i="3"/>
  <c r="K1459" i="3"/>
  <c r="E1459" i="3"/>
  <c r="B1459" i="3"/>
  <c r="U1458" i="3"/>
  <c r="K1458" i="3"/>
  <c r="E1458" i="3"/>
  <c r="B1458" i="3"/>
  <c r="U1457" i="3"/>
  <c r="K1457" i="3"/>
  <c r="E1457" i="3"/>
  <c r="B1457" i="3"/>
  <c r="U1456" i="3"/>
  <c r="K1456" i="3"/>
  <c r="E1456" i="3"/>
  <c r="B1456" i="3"/>
  <c r="U1455" i="3"/>
  <c r="K1455" i="3"/>
  <c r="E1455" i="3"/>
  <c r="B1455" i="3"/>
  <c r="U1454" i="3"/>
  <c r="K1454" i="3"/>
  <c r="E1454" i="3"/>
  <c r="B1454" i="3"/>
  <c r="U1453" i="3"/>
  <c r="K1453" i="3"/>
  <c r="E1453" i="3"/>
  <c r="B1453" i="3"/>
  <c r="U1452" i="3"/>
  <c r="K1452" i="3"/>
  <c r="E1452" i="3"/>
  <c r="B1452" i="3"/>
  <c r="U1451" i="3"/>
  <c r="K1451" i="3"/>
  <c r="E1451" i="3"/>
  <c r="B1451" i="3"/>
  <c r="U1450" i="3"/>
  <c r="K1450" i="3"/>
  <c r="E1450" i="3"/>
  <c r="B1450" i="3"/>
  <c r="U1449" i="3"/>
  <c r="K1449" i="3"/>
  <c r="E1449" i="3"/>
  <c r="B1449" i="3"/>
  <c r="U1448" i="3"/>
  <c r="K1448" i="3"/>
  <c r="E1448" i="3"/>
  <c r="B1448" i="3"/>
  <c r="U1447" i="3"/>
  <c r="K1447" i="3"/>
  <c r="E1447" i="3"/>
  <c r="B1447" i="3"/>
  <c r="U1446" i="3"/>
  <c r="K1446" i="3"/>
  <c r="E1446" i="3"/>
  <c r="B1446" i="3"/>
  <c r="U1445" i="3"/>
  <c r="K1445" i="3"/>
  <c r="E1445" i="3"/>
  <c r="B1445" i="3"/>
  <c r="U1444" i="3"/>
  <c r="K1444" i="3"/>
  <c r="E1444" i="3"/>
  <c r="B1444" i="3"/>
  <c r="U1443" i="3"/>
  <c r="K1443" i="3"/>
  <c r="E1443" i="3"/>
  <c r="B1443" i="3"/>
  <c r="U1442" i="3"/>
  <c r="K1442" i="3"/>
  <c r="E1442" i="3"/>
  <c r="B1442" i="3"/>
  <c r="U1441" i="3"/>
  <c r="K1441" i="3"/>
  <c r="E1441" i="3"/>
  <c r="B1441" i="3"/>
  <c r="U1440" i="3"/>
  <c r="K1440" i="3"/>
  <c r="E1440" i="3"/>
  <c r="B1440" i="3"/>
  <c r="U1439" i="3"/>
  <c r="K1439" i="3"/>
  <c r="E1439" i="3"/>
  <c r="B1439" i="3"/>
  <c r="U1438" i="3"/>
  <c r="K1438" i="3"/>
  <c r="E1438" i="3"/>
  <c r="B1438" i="3"/>
  <c r="U1437" i="3"/>
  <c r="K1437" i="3"/>
  <c r="E1437" i="3"/>
  <c r="B1437" i="3"/>
  <c r="U1436" i="3"/>
  <c r="K1436" i="3"/>
  <c r="E1436" i="3"/>
  <c r="B1436" i="3"/>
  <c r="U1435" i="3"/>
  <c r="K1435" i="3"/>
  <c r="E1435" i="3"/>
  <c r="B1435" i="3"/>
  <c r="U1434" i="3"/>
  <c r="K1434" i="3"/>
  <c r="E1434" i="3"/>
  <c r="B1434" i="3"/>
  <c r="U1433" i="3"/>
  <c r="K1433" i="3"/>
  <c r="E1433" i="3"/>
  <c r="B1433" i="3"/>
  <c r="U1432" i="3"/>
  <c r="K1432" i="3"/>
  <c r="E1432" i="3"/>
  <c r="B1432" i="3"/>
  <c r="U1431" i="3"/>
  <c r="K1431" i="3"/>
  <c r="E1431" i="3"/>
  <c r="B1431" i="3"/>
  <c r="U1430" i="3"/>
  <c r="K1430" i="3"/>
  <c r="E1430" i="3"/>
  <c r="B1430" i="3"/>
  <c r="U1429" i="3"/>
  <c r="K1429" i="3"/>
  <c r="E1429" i="3"/>
  <c r="B1429" i="3"/>
  <c r="U1428" i="3"/>
  <c r="K1428" i="3"/>
  <c r="E1428" i="3"/>
  <c r="B1428" i="3"/>
  <c r="U1427" i="3"/>
  <c r="K1427" i="3"/>
  <c r="E1427" i="3"/>
  <c r="B1427" i="3"/>
  <c r="U1426" i="3"/>
  <c r="K1426" i="3"/>
  <c r="E1426" i="3"/>
  <c r="B1426" i="3"/>
  <c r="U1425" i="3"/>
  <c r="K1425" i="3"/>
  <c r="E1425" i="3"/>
  <c r="B1425" i="3"/>
  <c r="U1424" i="3"/>
  <c r="K1424" i="3"/>
  <c r="E1424" i="3"/>
  <c r="B1424" i="3"/>
  <c r="U1423" i="3"/>
  <c r="K1423" i="3"/>
  <c r="E1423" i="3"/>
  <c r="B1423" i="3"/>
  <c r="U1422" i="3"/>
  <c r="K1422" i="3"/>
  <c r="E1422" i="3"/>
  <c r="B1422" i="3"/>
  <c r="U1421" i="3"/>
  <c r="K1421" i="3"/>
  <c r="E1421" i="3"/>
  <c r="B1421" i="3"/>
  <c r="U1420" i="3"/>
  <c r="K1420" i="3"/>
  <c r="E1420" i="3"/>
  <c r="B1420" i="3"/>
  <c r="U1419" i="3"/>
  <c r="K1419" i="3"/>
  <c r="E1419" i="3"/>
  <c r="B1419" i="3"/>
  <c r="U1418" i="3"/>
  <c r="K1418" i="3"/>
  <c r="E1418" i="3"/>
  <c r="B1418" i="3"/>
  <c r="U1417" i="3"/>
  <c r="K1417" i="3"/>
  <c r="E1417" i="3"/>
  <c r="B1417" i="3"/>
  <c r="U1416" i="3"/>
  <c r="K1416" i="3"/>
  <c r="E1416" i="3"/>
  <c r="B1416" i="3"/>
  <c r="U1415" i="3"/>
  <c r="K1415" i="3"/>
  <c r="E1415" i="3"/>
  <c r="B1415" i="3"/>
  <c r="U1414" i="3"/>
  <c r="K1414" i="3"/>
  <c r="E1414" i="3"/>
  <c r="B1414" i="3"/>
  <c r="U1413" i="3"/>
  <c r="K1413" i="3"/>
  <c r="E1413" i="3"/>
  <c r="B1413" i="3"/>
  <c r="U1412" i="3"/>
  <c r="K1412" i="3"/>
  <c r="E1412" i="3"/>
  <c r="B1412" i="3"/>
  <c r="U1411" i="3"/>
  <c r="K1411" i="3"/>
  <c r="E1411" i="3"/>
  <c r="B1411" i="3"/>
  <c r="U1410" i="3"/>
  <c r="K1410" i="3"/>
  <c r="E1410" i="3"/>
  <c r="B1410" i="3"/>
  <c r="U1409" i="3"/>
  <c r="K1409" i="3"/>
  <c r="E1409" i="3"/>
  <c r="B1409" i="3"/>
  <c r="U1408" i="3"/>
  <c r="K1408" i="3"/>
  <c r="E1408" i="3"/>
  <c r="B1408" i="3"/>
  <c r="U1407" i="3"/>
  <c r="K1407" i="3"/>
  <c r="E1407" i="3"/>
  <c r="B1407" i="3"/>
  <c r="U1406" i="3"/>
  <c r="K1406" i="3"/>
  <c r="E1406" i="3"/>
  <c r="B1406" i="3"/>
  <c r="U1405" i="3"/>
  <c r="K1405" i="3"/>
  <c r="E1405" i="3"/>
  <c r="B1405" i="3"/>
  <c r="U1404" i="3"/>
  <c r="K1404" i="3"/>
  <c r="E1404" i="3"/>
  <c r="B1404" i="3"/>
  <c r="U1403" i="3"/>
  <c r="K1403" i="3"/>
  <c r="E1403" i="3"/>
  <c r="B1403" i="3"/>
  <c r="U1402" i="3"/>
  <c r="K1402" i="3"/>
  <c r="E1402" i="3"/>
  <c r="B1402" i="3"/>
  <c r="U1401" i="3"/>
  <c r="K1401" i="3"/>
  <c r="E1401" i="3"/>
  <c r="B1401" i="3"/>
  <c r="U1400" i="3"/>
  <c r="K1400" i="3"/>
  <c r="E1400" i="3"/>
  <c r="B1400" i="3"/>
  <c r="U1399" i="3"/>
  <c r="K1399" i="3"/>
  <c r="E1399" i="3"/>
  <c r="B1399" i="3"/>
  <c r="U1398" i="3"/>
  <c r="K1398" i="3"/>
  <c r="E1398" i="3"/>
  <c r="B1398" i="3"/>
  <c r="U1397" i="3"/>
  <c r="K1397" i="3"/>
  <c r="E1397" i="3"/>
  <c r="B1397" i="3"/>
  <c r="U1396" i="3"/>
  <c r="K1396" i="3"/>
  <c r="E1396" i="3"/>
  <c r="B1396" i="3"/>
  <c r="U1395" i="3"/>
  <c r="K1395" i="3"/>
  <c r="E1395" i="3"/>
  <c r="B1395" i="3"/>
  <c r="U1394" i="3"/>
  <c r="K1394" i="3"/>
  <c r="E1394" i="3"/>
  <c r="B1394" i="3"/>
  <c r="U1393" i="3"/>
  <c r="K1393" i="3"/>
  <c r="E1393" i="3"/>
  <c r="B1393" i="3"/>
  <c r="U1392" i="3"/>
  <c r="K1392" i="3"/>
  <c r="E1392" i="3"/>
  <c r="B1392" i="3"/>
  <c r="U1391" i="3"/>
  <c r="K1391" i="3"/>
  <c r="E1391" i="3"/>
  <c r="B1391" i="3"/>
  <c r="U1390" i="3"/>
  <c r="K1390" i="3"/>
  <c r="E1390" i="3"/>
  <c r="B1390" i="3"/>
  <c r="U1389" i="3"/>
  <c r="K1389" i="3"/>
  <c r="E1389" i="3"/>
  <c r="B1389" i="3"/>
  <c r="U1388" i="3"/>
  <c r="K1388" i="3"/>
  <c r="E1388" i="3"/>
  <c r="B1388" i="3"/>
  <c r="U1387" i="3"/>
  <c r="K1387" i="3"/>
  <c r="E1387" i="3"/>
  <c r="B1387" i="3"/>
  <c r="U1386" i="3"/>
  <c r="K1386" i="3"/>
  <c r="E1386" i="3"/>
  <c r="B1386" i="3"/>
  <c r="U1385" i="3"/>
  <c r="K1385" i="3"/>
  <c r="E1385" i="3"/>
  <c r="B1385" i="3"/>
  <c r="U1384" i="3"/>
  <c r="K1384" i="3"/>
  <c r="E1384" i="3"/>
  <c r="B1384" i="3"/>
  <c r="U1383" i="3"/>
  <c r="K1383" i="3"/>
  <c r="E1383" i="3"/>
  <c r="B1383" i="3"/>
  <c r="U1382" i="3"/>
  <c r="K1382" i="3"/>
  <c r="E1382" i="3"/>
  <c r="B1382" i="3"/>
  <c r="U1381" i="3"/>
  <c r="K1381" i="3"/>
  <c r="E1381" i="3"/>
  <c r="B1381" i="3"/>
  <c r="U1380" i="3"/>
  <c r="K1380" i="3"/>
  <c r="E1380" i="3"/>
  <c r="B1380" i="3"/>
  <c r="U1379" i="3"/>
  <c r="K1379" i="3"/>
  <c r="E1379" i="3"/>
  <c r="B1379" i="3"/>
  <c r="U1378" i="3"/>
  <c r="K1378" i="3"/>
  <c r="E1378" i="3"/>
  <c r="B1378" i="3"/>
  <c r="U1377" i="3"/>
  <c r="K1377" i="3"/>
  <c r="E1377" i="3"/>
  <c r="B1377" i="3"/>
  <c r="U1376" i="3"/>
  <c r="K1376" i="3"/>
  <c r="E1376" i="3"/>
  <c r="B1376" i="3"/>
  <c r="U1375" i="3"/>
  <c r="K1375" i="3"/>
  <c r="E1375" i="3"/>
  <c r="B1375" i="3"/>
  <c r="U1374" i="3"/>
  <c r="K1374" i="3"/>
  <c r="E1374" i="3"/>
  <c r="B1374" i="3"/>
  <c r="U1373" i="3"/>
  <c r="K1373" i="3"/>
  <c r="E1373" i="3"/>
  <c r="B1373" i="3"/>
  <c r="U1372" i="3"/>
  <c r="K1372" i="3"/>
  <c r="E1372" i="3"/>
  <c r="B1372" i="3"/>
  <c r="U1371" i="3"/>
  <c r="K1371" i="3"/>
  <c r="E1371" i="3"/>
  <c r="B1371" i="3"/>
  <c r="U1370" i="3"/>
  <c r="K1370" i="3"/>
  <c r="E1370" i="3"/>
  <c r="B1370" i="3"/>
  <c r="U1369" i="3"/>
  <c r="K1369" i="3"/>
  <c r="E1369" i="3"/>
  <c r="B1369" i="3"/>
  <c r="U1368" i="3"/>
  <c r="K1368" i="3"/>
  <c r="E1368" i="3"/>
  <c r="B1368" i="3"/>
  <c r="U1367" i="3"/>
  <c r="K1367" i="3"/>
  <c r="E1367" i="3"/>
  <c r="B1367" i="3"/>
  <c r="U1366" i="3"/>
  <c r="K1366" i="3"/>
  <c r="E1366" i="3"/>
  <c r="B1366" i="3"/>
  <c r="U1365" i="3"/>
  <c r="K1365" i="3"/>
  <c r="E1365" i="3"/>
  <c r="B1365" i="3"/>
  <c r="U1364" i="3"/>
  <c r="K1364" i="3"/>
  <c r="E1364" i="3"/>
  <c r="B1364" i="3"/>
  <c r="U1363" i="3"/>
  <c r="K1363" i="3"/>
  <c r="E1363" i="3"/>
  <c r="B1363" i="3"/>
  <c r="U1362" i="3"/>
  <c r="K1362" i="3"/>
  <c r="E1362" i="3"/>
  <c r="B1362" i="3"/>
  <c r="U1361" i="3"/>
  <c r="K1361" i="3"/>
  <c r="E1361" i="3"/>
  <c r="B1361" i="3"/>
  <c r="U1360" i="3"/>
  <c r="K1360" i="3"/>
  <c r="E1360" i="3"/>
  <c r="B1360" i="3"/>
  <c r="U1359" i="3"/>
  <c r="K1359" i="3"/>
  <c r="E1359" i="3"/>
  <c r="B1359" i="3"/>
  <c r="U1358" i="3"/>
  <c r="K1358" i="3"/>
  <c r="E1358" i="3"/>
  <c r="B1358" i="3"/>
  <c r="U1357" i="3"/>
  <c r="K1357" i="3"/>
  <c r="E1357" i="3"/>
  <c r="B1357" i="3"/>
  <c r="U1356" i="3"/>
  <c r="K1356" i="3"/>
  <c r="E1356" i="3"/>
  <c r="B1356" i="3"/>
  <c r="U1355" i="3"/>
  <c r="K1355" i="3"/>
  <c r="E1355" i="3"/>
  <c r="B1355" i="3"/>
  <c r="U1354" i="3"/>
  <c r="K1354" i="3"/>
  <c r="E1354" i="3"/>
  <c r="B1354" i="3"/>
  <c r="U1353" i="3"/>
  <c r="K1353" i="3"/>
  <c r="E1353" i="3"/>
  <c r="B1353" i="3"/>
  <c r="U1352" i="3"/>
  <c r="K1352" i="3"/>
  <c r="E1352" i="3"/>
  <c r="B1352" i="3"/>
  <c r="U1351" i="3"/>
  <c r="K1351" i="3"/>
  <c r="E1351" i="3"/>
  <c r="B1351" i="3"/>
  <c r="U1350" i="3"/>
  <c r="K1350" i="3"/>
  <c r="E1350" i="3"/>
  <c r="B1350" i="3"/>
  <c r="U1349" i="3"/>
  <c r="K1349" i="3"/>
  <c r="E1349" i="3"/>
  <c r="B1349" i="3"/>
  <c r="U1348" i="3"/>
  <c r="K1348" i="3"/>
  <c r="E1348" i="3"/>
  <c r="B1348" i="3"/>
  <c r="U1347" i="3"/>
  <c r="K1347" i="3"/>
  <c r="E1347" i="3"/>
  <c r="B1347" i="3"/>
  <c r="U1346" i="3"/>
  <c r="K1346" i="3"/>
  <c r="E1346" i="3"/>
  <c r="B1346" i="3"/>
  <c r="U1345" i="3"/>
  <c r="K1345" i="3"/>
  <c r="E1345" i="3"/>
  <c r="B1345" i="3"/>
  <c r="U1344" i="3"/>
  <c r="K1344" i="3"/>
  <c r="E1344" i="3"/>
  <c r="B1344" i="3"/>
  <c r="U1343" i="3"/>
  <c r="K1343" i="3"/>
  <c r="E1343" i="3"/>
  <c r="B1343" i="3"/>
  <c r="U1342" i="3"/>
  <c r="K1342" i="3"/>
  <c r="E1342" i="3"/>
  <c r="B1342" i="3"/>
  <c r="U1341" i="3"/>
  <c r="K1341" i="3"/>
  <c r="E1341" i="3"/>
  <c r="B1341" i="3"/>
  <c r="U1340" i="3"/>
  <c r="K1340" i="3"/>
  <c r="E1340" i="3"/>
  <c r="B1340" i="3"/>
  <c r="U1339" i="3"/>
  <c r="K1339" i="3"/>
  <c r="E1339" i="3"/>
  <c r="B1339" i="3"/>
  <c r="U1338" i="3"/>
  <c r="K1338" i="3"/>
  <c r="E1338" i="3"/>
  <c r="B1338" i="3"/>
  <c r="U1337" i="3"/>
  <c r="K1337" i="3"/>
  <c r="E1337" i="3"/>
  <c r="B1337" i="3"/>
  <c r="U1336" i="3"/>
  <c r="K1336" i="3"/>
  <c r="E1336" i="3"/>
  <c r="B1336" i="3"/>
  <c r="U1335" i="3"/>
  <c r="K1335" i="3"/>
  <c r="E1335" i="3"/>
  <c r="B1335" i="3"/>
  <c r="U1334" i="3"/>
  <c r="K1334" i="3"/>
  <c r="E1334" i="3"/>
  <c r="B1334" i="3"/>
  <c r="U1333" i="3"/>
  <c r="K1333" i="3"/>
  <c r="E1333" i="3"/>
  <c r="B1333" i="3"/>
  <c r="U1332" i="3"/>
  <c r="K1332" i="3"/>
  <c r="E1332" i="3"/>
  <c r="B1332" i="3"/>
  <c r="U1331" i="3"/>
  <c r="K1331" i="3"/>
  <c r="E1331" i="3"/>
  <c r="B1331" i="3"/>
  <c r="U1330" i="3"/>
  <c r="K1330" i="3"/>
  <c r="E1330" i="3"/>
  <c r="B1330" i="3"/>
  <c r="U1329" i="3"/>
  <c r="K1329" i="3"/>
  <c r="E1329" i="3"/>
  <c r="B1329" i="3"/>
  <c r="U1328" i="3"/>
  <c r="K1328" i="3"/>
  <c r="E1328" i="3"/>
  <c r="B1328" i="3"/>
  <c r="U1327" i="3"/>
  <c r="K1327" i="3"/>
  <c r="E1327" i="3"/>
  <c r="B1327" i="3"/>
  <c r="U1326" i="3"/>
  <c r="K1326" i="3"/>
  <c r="E1326" i="3"/>
  <c r="B1326" i="3"/>
  <c r="U1325" i="3"/>
  <c r="K1325" i="3"/>
  <c r="E1325" i="3"/>
  <c r="B1325" i="3"/>
  <c r="U1324" i="3"/>
  <c r="K1324" i="3"/>
  <c r="E1324" i="3"/>
  <c r="B1324" i="3"/>
  <c r="U1323" i="3"/>
  <c r="K1323" i="3"/>
  <c r="E1323" i="3"/>
  <c r="B1323" i="3"/>
  <c r="U1322" i="3"/>
  <c r="K1322" i="3"/>
  <c r="E1322" i="3"/>
  <c r="B1322" i="3"/>
  <c r="U1321" i="3"/>
  <c r="K1321" i="3"/>
  <c r="E1321" i="3"/>
  <c r="B1321" i="3"/>
  <c r="U1320" i="3"/>
  <c r="K1320" i="3"/>
  <c r="E1320" i="3"/>
  <c r="B1320" i="3"/>
  <c r="U1319" i="3"/>
  <c r="K1319" i="3"/>
  <c r="E1319" i="3"/>
  <c r="B1319" i="3"/>
  <c r="U1318" i="3"/>
  <c r="K1318" i="3"/>
  <c r="E1318" i="3"/>
  <c r="B1318" i="3"/>
  <c r="U1317" i="3"/>
  <c r="K1317" i="3"/>
  <c r="E1317" i="3"/>
  <c r="B1317" i="3"/>
  <c r="U1316" i="3"/>
  <c r="K1316" i="3"/>
  <c r="E1316" i="3"/>
  <c r="B1316" i="3"/>
  <c r="U1315" i="3"/>
  <c r="K1315" i="3"/>
  <c r="E1315" i="3"/>
  <c r="B1315" i="3"/>
  <c r="U1314" i="3"/>
  <c r="K1314" i="3"/>
  <c r="E1314" i="3"/>
  <c r="B1314" i="3"/>
  <c r="U1313" i="3"/>
  <c r="K1313" i="3"/>
  <c r="E1313" i="3"/>
  <c r="B1313" i="3"/>
  <c r="U1312" i="3"/>
  <c r="K1312" i="3"/>
  <c r="E1312" i="3"/>
  <c r="B1312" i="3"/>
  <c r="U1311" i="3"/>
  <c r="K1311" i="3"/>
  <c r="E1311" i="3"/>
  <c r="B1311" i="3"/>
  <c r="U1310" i="3"/>
  <c r="K1310" i="3"/>
  <c r="E1310" i="3"/>
  <c r="B1310" i="3"/>
  <c r="U1309" i="3"/>
  <c r="K1309" i="3"/>
  <c r="E1309" i="3"/>
  <c r="B1309" i="3"/>
  <c r="U1308" i="3"/>
  <c r="K1308" i="3"/>
  <c r="E1308" i="3"/>
  <c r="B1308" i="3"/>
  <c r="U1307" i="3"/>
  <c r="K1307" i="3"/>
  <c r="E1307" i="3"/>
  <c r="B1307" i="3"/>
  <c r="U1306" i="3"/>
  <c r="K1306" i="3"/>
  <c r="E1306" i="3"/>
  <c r="B1306" i="3"/>
  <c r="U1305" i="3"/>
  <c r="K1305" i="3"/>
  <c r="E1305" i="3"/>
  <c r="B1305" i="3"/>
  <c r="U1304" i="3"/>
  <c r="K1304" i="3"/>
  <c r="E1304" i="3"/>
  <c r="B1304" i="3"/>
  <c r="U1303" i="3"/>
  <c r="K1303" i="3"/>
  <c r="E1303" i="3"/>
  <c r="B1303" i="3"/>
  <c r="U1302" i="3"/>
  <c r="K1302" i="3"/>
  <c r="E1302" i="3"/>
  <c r="B1302" i="3"/>
  <c r="U1301" i="3"/>
  <c r="K1301" i="3"/>
  <c r="E1301" i="3"/>
  <c r="B1301" i="3"/>
  <c r="U1300" i="3"/>
  <c r="K1300" i="3"/>
  <c r="E1300" i="3"/>
  <c r="B1300" i="3"/>
  <c r="U1299" i="3"/>
  <c r="K1299" i="3"/>
  <c r="E1299" i="3"/>
  <c r="B1299" i="3"/>
  <c r="U1298" i="3"/>
  <c r="K1298" i="3"/>
  <c r="E1298" i="3"/>
  <c r="B1298" i="3"/>
  <c r="U1297" i="3"/>
  <c r="K1297" i="3"/>
  <c r="E1297" i="3"/>
  <c r="B1297" i="3"/>
  <c r="U1296" i="3"/>
  <c r="K1296" i="3"/>
  <c r="E1296" i="3"/>
  <c r="B1296" i="3"/>
  <c r="U1295" i="3"/>
  <c r="K1295" i="3"/>
  <c r="E1295" i="3"/>
  <c r="B1295" i="3"/>
  <c r="U1294" i="3"/>
  <c r="K1294" i="3"/>
  <c r="E1294" i="3"/>
  <c r="B1294" i="3"/>
  <c r="U1293" i="3"/>
  <c r="K1293" i="3"/>
  <c r="E1293" i="3"/>
  <c r="B1293" i="3"/>
  <c r="U1292" i="3"/>
  <c r="K1292" i="3"/>
  <c r="E1292" i="3"/>
  <c r="B1292" i="3"/>
  <c r="U1291" i="3"/>
  <c r="K1291" i="3"/>
  <c r="E1291" i="3"/>
  <c r="B1291" i="3"/>
  <c r="U1290" i="3"/>
  <c r="K1290" i="3"/>
  <c r="E1290" i="3"/>
  <c r="B1290" i="3"/>
  <c r="U1289" i="3"/>
  <c r="K1289" i="3"/>
  <c r="E1289" i="3"/>
  <c r="B1289" i="3"/>
  <c r="U1288" i="3"/>
  <c r="K1288" i="3"/>
  <c r="E1288" i="3"/>
  <c r="B1288" i="3"/>
  <c r="U1287" i="3"/>
  <c r="K1287" i="3"/>
  <c r="E1287" i="3"/>
  <c r="B1287" i="3"/>
  <c r="U1286" i="3"/>
  <c r="K1286" i="3"/>
  <c r="E1286" i="3"/>
  <c r="B1286" i="3"/>
  <c r="U1285" i="3"/>
  <c r="K1285" i="3"/>
  <c r="E1285" i="3"/>
  <c r="B1285" i="3"/>
  <c r="U1284" i="3"/>
  <c r="K1284" i="3"/>
  <c r="E1284" i="3"/>
  <c r="B1284" i="3"/>
  <c r="U1283" i="3"/>
  <c r="K1283" i="3"/>
  <c r="E1283" i="3"/>
  <c r="B1283" i="3"/>
  <c r="U1282" i="3"/>
  <c r="K1282" i="3"/>
  <c r="E1282" i="3"/>
  <c r="B1282" i="3"/>
  <c r="U1281" i="3"/>
  <c r="K1281" i="3"/>
  <c r="E1281" i="3"/>
  <c r="B1281" i="3"/>
  <c r="U1280" i="3"/>
  <c r="K1280" i="3"/>
  <c r="E1280" i="3"/>
  <c r="B1280" i="3"/>
  <c r="U1279" i="3"/>
  <c r="K1279" i="3"/>
  <c r="E1279" i="3"/>
  <c r="B1279" i="3"/>
  <c r="K1278" i="3"/>
  <c r="E1278" i="3"/>
  <c r="B1278" i="3"/>
  <c r="U1277" i="3"/>
  <c r="K1277" i="3"/>
  <c r="E1277" i="3"/>
  <c r="B1277" i="3"/>
  <c r="U1276" i="3"/>
  <c r="K1276" i="3"/>
  <c r="E1276" i="3"/>
  <c r="B1276" i="3"/>
  <c r="U1275" i="3"/>
  <c r="K1275" i="3"/>
  <c r="E1275" i="3"/>
  <c r="B1275" i="3"/>
  <c r="U1274" i="3"/>
  <c r="K1274" i="3"/>
  <c r="E1274" i="3"/>
  <c r="B1274" i="3"/>
  <c r="U1273" i="3"/>
  <c r="K1273" i="3"/>
  <c r="E1273" i="3"/>
  <c r="B1273" i="3"/>
  <c r="U1272" i="3"/>
  <c r="K1272" i="3"/>
  <c r="E1272" i="3"/>
  <c r="B1272" i="3"/>
  <c r="U1271" i="3"/>
  <c r="K1271" i="3"/>
  <c r="E1271" i="3"/>
  <c r="B1271" i="3"/>
  <c r="U1270" i="3"/>
  <c r="K1270" i="3"/>
  <c r="E1270" i="3"/>
  <c r="B1270" i="3"/>
  <c r="U1269" i="3"/>
  <c r="K1269" i="3"/>
  <c r="E1269" i="3"/>
  <c r="B1269" i="3"/>
  <c r="U1268" i="3"/>
  <c r="K1268" i="3"/>
  <c r="E1268" i="3"/>
  <c r="B1268" i="3"/>
  <c r="U1267" i="3"/>
  <c r="K1267" i="3"/>
  <c r="E1267" i="3"/>
  <c r="B1267" i="3"/>
  <c r="U1266" i="3"/>
  <c r="K1266" i="3"/>
  <c r="E1266" i="3"/>
  <c r="B1266" i="3"/>
  <c r="U1265" i="3"/>
  <c r="K1265" i="3"/>
  <c r="E1265" i="3"/>
  <c r="B1265" i="3"/>
  <c r="U1264" i="3"/>
  <c r="K1264" i="3"/>
  <c r="E1264" i="3"/>
  <c r="B1264" i="3"/>
  <c r="U1263" i="3"/>
  <c r="K1263" i="3"/>
  <c r="E1263" i="3"/>
  <c r="B1263" i="3"/>
  <c r="U1262" i="3"/>
  <c r="K1262" i="3"/>
  <c r="E1262" i="3"/>
  <c r="B1262" i="3"/>
  <c r="U1261" i="3"/>
  <c r="K1261" i="3"/>
  <c r="E1261" i="3"/>
  <c r="B1261" i="3"/>
  <c r="U1260" i="3"/>
  <c r="K1260" i="3"/>
  <c r="E1260" i="3"/>
  <c r="B1260" i="3"/>
  <c r="U1259" i="3"/>
  <c r="K1259" i="3"/>
  <c r="E1259" i="3"/>
  <c r="B1259" i="3"/>
  <c r="U1258" i="3"/>
  <c r="K1258" i="3"/>
  <c r="E1258" i="3"/>
  <c r="B1258" i="3"/>
  <c r="U1257" i="3"/>
  <c r="K1257" i="3"/>
  <c r="E1257" i="3"/>
  <c r="B1257" i="3"/>
  <c r="U1256" i="3"/>
  <c r="K1256" i="3"/>
  <c r="E1256" i="3"/>
  <c r="B1256" i="3"/>
  <c r="U1255" i="3"/>
  <c r="K1255" i="3"/>
  <c r="E1255" i="3"/>
  <c r="B1255" i="3"/>
  <c r="U1254" i="3"/>
  <c r="K1254" i="3"/>
  <c r="E1254" i="3"/>
  <c r="B1254" i="3"/>
  <c r="U1253" i="3"/>
  <c r="K1253" i="3"/>
  <c r="E1253" i="3"/>
  <c r="B1253" i="3"/>
  <c r="U1252" i="3"/>
  <c r="K1252" i="3"/>
  <c r="E1252" i="3"/>
  <c r="B1252" i="3"/>
  <c r="U1251" i="3"/>
  <c r="K1251" i="3"/>
  <c r="E1251" i="3"/>
  <c r="B1251" i="3"/>
  <c r="U1250" i="3"/>
  <c r="K1250" i="3"/>
  <c r="E1250" i="3"/>
  <c r="B1250" i="3"/>
  <c r="U1249" i="3"/>
  <c r="K1249" i="3"/>
  <c r="E1249" i="3"/>
  <c r="B1249" i="3"/>
  <c r="U1248" i="3"/>
  <c r="K1248" i="3"/>
  <c r="E1248" i="3"/>
  <c r="B1248" i="3"/>
  <c r="U1247" i="3"/>
  <c r="K1247" i="3"/>
  <c r="E1247" i="3"/>
  <c r="B1247" i="3"/>
  <c r="U1246" i="3"/>
  <c r="K1246" i="3"/>
  <c r="E1246" i="3"/>
  <c r="B1246" i="3"/>
  <c r="U1245" i="3"/>
  <c r="K1245" i="3"/>
  <c r="E1245" i="3"/>
  <c r="B1245" i="3"/>
  <c r="U1244" i="3"/>
  <c r="K1244" i="3"/>
  <c r="E1244" i="3"/>
  <c r="B1244" i="3"/>
  <c r="U1243" i="3"/>
  <c r="K1243" i="3"/>
  <c r="E1243" i="3"/>
  <c r="B1243" i="3"/>
  <c r="U1242" i="3"/>
  <c r="K1242" i="3"/>
  <c r="E1242" i="3"/>
  <c r="B1242" i="3"/>
  <c r="U1241" i="3"/>
  <c r="K1241" i="3"/>
  <c r="E1241" i="3"/>
  <c r="B1241" i="3"/>
  <c r="U1240" i="3"/>
  <c r="K1240" i="3"/>
  <c r="E1240" i="3"/>
  <c r="B1240" i="3"/>
  <c r="U1239" i="3"/>
  <c r="K1239" i="3"/>
  <c r="E1239" i="3"/>
  <c r="B1239" i="3"/>
  <c r="K1238" i="3"/>
  <c r="E1238" i="3"/>
  <c r="B1238" i="3"/>
  <c r="U1237" i="3"/>
  <c r="K1237" i="3"/>
  <c r="E1237" i="3"/>
  <c r="B1237" i="3"/>
  <c r="U1236" i="3"/>
  <c r="K1236" i="3"/>
  <c r="E1236" i="3"/>
  <c r="B1236" i="3"/>
  <c r="U1235" i="3"/>
  <c r="K1235" i="3"/>
  <c r="E1235" i="3"/>
  <c r="B1235" i="3"/>
  <c r="U1234" i="3"/>
  <c r="K1234" i="3"/>
  <c r="E1234" i="3"/>
  <c r="B1234" i="3"/>
  <c r="U1233" i="3"/>
  <c r="K1233" i="3"/>
  <c r="E1233" i="3"/>
  <c r="B1233" i="3"/>
  <c r="U1232" i="3"/>
  <c r="K1232" i="3"/>
  <c r="E1232" i="3"/>
  <c r="B1232" i="3"/>
  <c r="U1231" i="3"/>
  <c r="K1231" i="3"/>
  <c r="E1231" i="3"/>
  <c r="B1231" i="3"/>
  <c r="U1230" i="3"/>
  <c r="K1230" i="3"/>
  <c r="E1230" i="3"/>
  <c r="B1230" i="3"/>
  <c r="U1229" i="3"/>
  <c r="K1229" i="3"/>
  <c r="E1229" i="3"/>
  <c r="B1229" i="3"/>
  <c r="U1228" i="3"/>
  <c r="K1228" i="3"/>
  <c r="E1228" i="3"/>
  <c r="B1228" i="3"/>
  <c r="U1227" i="3"/>
  <c r="K1227" i="3"/>
  <c r="E1227" i="3"/>
  <c r="B1227" i="3"/>
  <c r="U1226" i="3"/>
  <c r="K1226" i="3"/>
  <c r="E1226" i="3"/>
  <c r="B1226" i="3"/>
  <c r="U1225" i="3"/>
  <c r="K1225" i="3"/>
  <c r="E1225" i="3"/>
  <c r="B1225" i="3"/>
  <c r="U1224" i="3"/>
  <c r="K1224" i="3"/>
  <c r="E1224" i="3"/>
  <c r="B1224" i="3"/>
  <c r="U1223" i="3"/>
  <c r="K1223" i="3"/>
  <c r="E1223" i="3"/>
  <c r="B1223" i="3"/>
  <c r="U1222" i="3"/>
  <c r="K1222" i="3"/>
  <c r="E1222" i="3"/>
  <c r="B1222" i="3"/>
  <c r="U1221" i="3"/>
  <c r="K1221" i="3"/>
  <c r="E1221" i="3"/>
  <c r="B1221" i="3"/>
  <c r="U1220" i="3"/>
  <c r="K1220" i="3"/>
  <c r="E1220" i="3"/>
  <c r="B1220" i="3"/>
  <c r="U1219" i="3"/>
  <c r="K1219" i="3"/>
  <c r="E1219" i="3"/>
  <c r="B1219" i="3"/>
  <c r="U1218" i="3"/>
  <c r="K1218" i="3"/>
  <c r="E1218" i="3"/>
  <c r="B1218" i="3"/>
  <c r="U1217" i="3"/>
  <c r="K1217" i="3"/>
  <c r="E1217" i="3"/>
  <c r="B1217" i="3"/>
  <c r="U1216" i="3"/>
  <c r="K1216" i="3"/>
  <c r="E1216" i="3"/>
  <c r="B1216" i="3"/>
  <c r="U1215" i="3"/>
  <c r="K1215" i="3"/>
  <c r="E1215" i="3"/>
  <c r="B1215" i="3"/>
  <c r="U1214" i="3"/>
  <c r="K1214" i="3"/>
  <c r="E1214" i="3"/>
  <c r="B1214" i="3"/>
  <c r="U1213" i="3"/>
  <c r="K1213" i="3"/>
  <c r="E1213" i="3"/>
  <c r="B1213" i="3"/>
  <c r="U1212" i="3"/>
  <c r="K1212" i="3"/>
  <c r="E1212" i="3"/>
  <c r="B1212" i="3"/>
  <c r="U1211" i="3"/>
  <c r="K1211" i="3"/>
  <c r="E1211" i="3"/>
  <c r="B1211" i="3"/>
  <c r="U1210" i="3"/>
  <c r="K1210" i="3"/>
  <c r="E1210" i="3"/>
  <c r="B1210" i="3"/>
  <c r="U1209" i="3"/>
  <c r="K1209" i="3"/>
  <c r="E1209" i="3"/>
  <c r="B1209" i="3"/>
  <c r="U1208" i="3"/>
  <c r="K1208" i="3"/>
  <c r="E1208" i="3"/>
  <c r="B1208" i="3"/>
  <c r="U1207" i="3"/>
  <c r="K1207" i="3"/>
  <c r="E1207" i="3"/>
  <c r="B1207" i="3"/>
  <c r="U1206" i="3"/>
  <c r="K1206" i="3"/>
  <c r="E1206" i="3"/>
  <c r="B1206" i="3"/>
  <c r="U1205" i="3"/>
  <c r="K1205" i="3"/>
  <c r="E1205" i="3"/>
  <c r="B1205" i="3"/>
  <c r="U1204" i="3"/>
  <c r="K1204" i="3"/>
  <c r="E1204" i="3"/>
  <c r="B1204" i="3"/>
  <c r="U1203" i="3"/>
  <c r="K1203" i="3"/>
  <c r="E1203" i="3"/>
  <c r="B1203" i="3"/>
  <c r="K1202" i="3"/>
  <c r="E1202" i="3"/>
  <c r="B1202" i="3"/>
  <c r="U1201" i="3"/>
  <c r="K1201" i="3"/>
  <c r="E1201" i="3"/>
  <c r="B1201" i="3"/>
  <c r="U1200" i="3"/>
  <c r="K1200" i="3"/>
  <c r="E1200" i="3"/>
  <c r="B1200" i="3"/>
  <c r="U1199" i="3"/>
  <c r="K1199" i="3"/>
  <c r="E1199" i="3"/>
  <c r="B1199" i="3"/>
  <c r="U1198" i="3"/>
  <c r="K1198" i="3"/>
  <c r="E1198" i="3"/>
  <c r="B1198" i="3"/>
  <c r="U1197" i="3"/>
  <c r="K1197" i="3"/>
  <c r="E1197" i="3"/>
  <c r="B1197" i="3"/>
  <c r="U1196" i="3"/>
  <c r="K1196" i="3"/>
  <c r="E1196" i="3"/>
  <c r="B1196" i="3"/>
  <c r="U1195" i="3"/>
  <c r="K1195" i="3"/>
  <c r="E1195" i="3"/>
  <c r="B1195" i="3"/>
  <c r="U1194" i="3"/>
  <c r="K1194" i="3"/>
  <c r="E1194" i="3"/>
  <c r="B1194" i="3"/>
  <c r="U1193" i="3"/>
  <c r="K1193" i="3"/>
  <c r="E1193" i="3"/>
  <c r="B1193" i="3"/>
  <c r="U1192" i="3"/>
  <c r="K1192" i="3"/>
  <c r="E1192" i="3"/>
  <c r="B1192" i="3"/>
  <c r="U1191" i="3"/>
  <c r="K1191" i="3"/>
  <c r="E1191" i="3"/>
  <c r="B1191" i="3"/>
  <c r="U1190" i="3"/>
  <c r="K1190" i="3"/>
  <c r="E1190" i="3"/>
  <c r="B1190" i="3"/>
  <c r="U1189" i="3"/>
  <c r="K1189" i="3"/>
  <c r="E1189" i="3"/>
  <c r="B1189" i="3"/>
  <c r="U1188" i="3"/>
  <c r="K1188" i="3"/>
  <c r="E1188" i="3"/>
  <c r="B1188" i="3"/>
  <c r="U1187" i="3"/>
  <c r="K1187" i="3"/>
  <c r="E1187" i="3"/>
  <c r="B1187" i="3"/>
  <c r="U1186" i="3"/>
  <c r="K1186" i="3"/>
  <c r="E1186" i="3"/>
  <c r="B1186" i="3"/>
  <c r="U1185" i="3"/>
  <c r="K1185" i="3"/>
  <c r="E1185" i="3"/>
  <c r="B1185" i="3"/>
  <c r="U1184" i="3"/>
  <c r="K1184" i="3"/>
  <c r="E1184" i="3"/>
  <c r="B1184" i="3"/>
  <c r="U1183" i="3"/>
  <c r="K1183" i="3"/>
  <c r="E1183" i="3"/>
  <c r="B1183" i="3"/>
  <c r="U1182" i="3"/>
  <c r="K1182" i="3"/>
  <c r="E1182" i="3"/>
  <c r="B1182" i="3"/>
  <c r="U1181" i="3"/>
  <c r="K1181" i="3"/>
  <c r="E1181" i="3"/>
  <c r="B1181" i="3"/>
  <c r="U1180" i="3"/>
  <c r="K1180" i="3"/>
  <c r="E1180" i="3"/>
  <c r="B1180" i="3"/>
  <c r="U1179" i="3"/>
  <c r="K1179" i="3"/>
  <c r="E1179" i="3"/>
  <c r="B1179" i="3"/>
  <c r="U1178" i="3"/>
  <c r="K1178" i="3"/>
  <c r="E1178" i="3"/>
  <c r="B1178" i="3"/>
  <c r="U1177" i="3"/>
  <c r="K1177" i="3"/>
  <c r="E1177" i="3"/>
  <c r="B1177" i="3"/>
  <c r="U1176" i="3"/>
  <c r="K1176" i="3"/>
  <c r="E1176" i="3"/>
  <c r="B1176" i="3"/>
  <c r="U1175" i="3"/>
  <c r="K1175" i="3"/>
  <c r="E1175" i="3"/>
  <c r="B1175" i="3"/>
  <c r="U1174" i="3"/>
  <c r="K1174" i="3"/>
  <c r="E1174" i="3"/>
  <c r="B1174" i="3"/>
  <c r="U1173" i="3"/>
  <c r="K1173" i="3"/>
  <c r="E1173" i="3"/>
  <c r="B1173" i="3"/>
  <c r="U1172" i="3"/>
  <c r="K1172" i="3"/>
  <c r="E1172" i="3"/>
  <c r="B1172" i="3"/>
  <c r="U1171" i="3"/>
  <c r="K1171" i="3"/>
  <c r="E1171" i="3"/>
  <c r="B1171" i="3"/>
  <c r="U1170" i="3"/>
  <c r="K1170" i="3"/>
  <c r="E1170" i="3"/>
  <c r="B1170" i="3"/>
  <c r="U1169" i="3"/>
  <c r="K1169" i="3"/>
  <c r="E1169" i="3"/>
  <c r="B1169" i="3"/>
  <c r="U1168" i="3"/>
  <c r="K1168" i="3"/>
  <c r="E1168" i="3"/>
  <c r="B1168" i="3"/>
  <c r="U1167" i="3"/>
  <c r="K1167" i="3"/>
  <c r="E1167" i="3"/>
  <c r="B1167" i="3"/>
  <c r="U1166" i="3"/>
  <c r="K1166" i="3"/>
  <c r="E1166" i="3"/>
  <c r="B1166" i="3"/>
  <c r="U1165" i="3"/>
  <c r="K1165" i="3"/>
  <c r="E1165" i="3"/>
  <c r="B1165" i="3"/>
  <c r="U1164" i="3"/>
  <c r="K1164" i="3"/>
  <c r="E1164" i="3"/>
  <c r="B1164" i="3"/>
  <c r="U1163" i="3"/>
  <c r="K1163" i="3"/>
  <c r="E1163" i="3"/>
  <c r="B1163" i="3"/>
  <c r="U1162" i="3"/>
  <c r="K1162" i="3"/>
  <c r="E1162" i="3"/>
  <c r="B1162" i="3"/>
  <c r="U1161" i="3"/>
  <c r="K1161" i="3"/>
  <c r="E1161" i="3"/>
  <c r="B1161" i="3"/>
  <c r="U1160" i="3"/>
  <c r="K1160" i="3"/>
  <c r="E1160" i="3"/>
  <c r="B1160" i="3"/>
  <c r="K1159" i="3"/>
  <c r="E1159" i="3"/>
  <c r="B1159" i="3"/>
  <c r="U1158" i="3"/>
  <c r="K1158" i="3"/>
  <c r="E1158" i="3"/>
  <c r="B1158" i="3"/>
  <c r="U1157" i="3"/>
  <c r="K1157" i="3"/>
  <c r="E1157" i="3"/>
  <c r="B1157" i="3"/>
  <c r="U1156" i="3"/>
  <c r="K1156" i="3"/>
  <c r="E1156" i="3"/>
  <c r="B1156" i="3"/>
  <c r="U1155" i="3"/>
  <c r="K1155" i="3"/>
  <c r="E1155" i="3"/>
  <c r="B1155" i="3"/>
  <c r="U1154" i="3"/>
  <c r="K1154" i="3"/>
  <c r="E1154" i="3"/>
  <c r="B1154" i="3"/>
  <c r="U1153" i="3"/>
  <c r="K1153" i="3"/>
  <c r="E1153" i="3"/>
  <c r="B1153" i="3"/>
  <c r="U1152" i="3"/>
  <c r="K1152" i="3"/>
  <c r="E1152" i="3"/>
  <c r="B1152" i="3"/>
  <c r="U1151" i="3"/>
  <c r="K1151" i="3"/>
  <c r="E1151" i="3"/>
  <c r="B1151" i="3"/>
  <c r="U1150" i="3"/>
  <c r="K1150" i="3"/>
  <c r="E1150" i="3"/>
  <c r="B1150" i="3"/>
  <c r="U1149" i="3"/>
  <c r="K1149" i="3"/>
  <c r="E1149" i="3"/>
  <c r="B1149" i="3"/>
  <c r="U1148" i="3"/>
  <c r="K1148" i="3"/>
  <c r="E1148" i="3"/>
  <c r="B1148" i="3"/>
  <c r="U1147" i="3"/>
  <c r="K1147" i="3"/>
  <c r="E1147" i="3"/>
  <c r="B1147" i="3"/>
  <c r="U1146" i="3"/>
  <c r="K1146" i="3"/>
  <c r="E1146" i="3"/>
  <c r="B1146" i="3"/>
  <c r="U1145" i="3"/>
  <c r="K1145" i="3"/>
  <c r="E1145" i="3"/>
  <c r="B1145" i="3"/>
  <c r="U1144" i="3"/>
  <c r="K1144" i="3"/>
  <c r="E1144" i="3"/>
  <c r="B1144" i="3"/>
  <c r="U1143" i="3"/>
  <c r="K1143" i="3"/>
  <c r="E1143" i="3"/>
  <c r="B1143" i="3"/>
  <c r="U1142" i="3"/>
  <c r="K1142" i="3"/>
  <c r="E1142" i="3"/>
  <c r="B1142" i="3"/>
  <c r="U1141" i="3"/>
  <c r="K1141" i="3"/>
  <c r="E1141" i="3"/>
  <c r="B1141" i="3"/>
  <c r="U1140" i="3"/>
  <c r="K1140" i="3"/>
  <c r="E1140" i="3"/>
  <c r="B1140" i="3"/>
  <c r="U1139" i="3"/>
  <c r="K1139" i="3"/>
  <c r="E1139" i="3"/>
  <c r="B1139" i="3"/>
  <c r="U1138" i="3"/>
  <c r="K1138" i="3"/>
  <c r="E1138" i="3"/>
  <c r="B1138" i="3"/>
  <c r="U1137" i="3"/>
  <c r="K1137" i="3"/>
  <c r="E1137" i="3"/>
  <c r="B1137" i="3"/>
  <c r="U1136" i="3"/>
  <c r="K1136" i="3"/>
  <c r="E1136" i="3"/>
  <c r="B1136" i="3"/>
  <c r="U1135" i="3"/>
  <c r="K1135" i="3"/>
  <c r="E1135" i="3"/>
  <c r="B1135" i="3"/>
  <c r="U1134" i="3"/>
  <c r="K1134" i="3"/>
  <c r="E1134" i="3"/>
  <c r="B1134" i="3"/>
  <c r="U1133" i="3"/>
  <c r="K1133" i="3"/>
  <c r="E1133" i="3"/>
  <c r="B1133" i="3"/>
  <c r="U1132" i="3"/>
  <c r="K1132" i="3"/>
  <c r="E1132" i="3"/>
  <c r="B1132" i="3"/>
  <c r="U1131" i="3"/>
  <c r="K1131" i="3"/>
  <c r="E1131" i="3"/>
  <c r="B1131" i="3"/>
  <c r="U1130" i="3"/>
  <c r="K1130" i="3"/>
  <c r="E1130" i="3"/>
  <c r="B1130" i="3"/>
  <c r="U1129" i="3"/>
  <c r="K1129" i="3"/>
  <c r="E1129" i="3"/>
  <c r="B1129" i="3"/>
  <c r="U1128" i="3"/>
  <c r="K1128" i="3"/>
  <c r="E1128" i="3"/>
  <c r="B1128" i="3"/>
  <c r="U1127" i="3"/>
  <c r="K1127" i="3"/>
  <c r="E1127" i="3"/>
  <c r="B1127" i="3"/>
  <c r="U1126" i="3"/>
  <c r="K1126" i="3"/>
  <c r="E1126" i="3"/>
  <c r="B1126" i="3"/>
  <c r="U1125" i="3"/>
  <c r="K1125" i="3"/>
  <c r="E1125" i="3"/>
  <c r="B1125" i="3"/>
  <c r="U1124" i="3"/>
  <c r="K1124" i="3"/>
  <c r="E1124" i="3"/>
  <c r="B1124" i="3"/>
  <c r="U1123" i="3"/>
  <c r="K1123" i="3"/>
  <c r="E1123" i="3"/>
  <c r="B1123" i="3"/>
  <c r="U1122" i="3"/>
  <c r="K1122" i="3"/>
  <c r="E1122" i="3"/>
  <c r="B1122" i="3"/>
  <c r="U1121" i="3"/>
  <c r="K1121" i="3"/>
  <c r="E1121" i="3"/>
  <c r="B1121" i="3"/>
  <c r="U1120" i="3"/>
  <c r="K1120" i="3"/>
  <c r="E1120" i="3"/>
  <c r="B1120" i="3"/>
  <c r="U1119" i="3"/>
  <c r="K1119" i="3"/>
  <c r="E1119" i="3"/>
  <c r="B1119" i="3"/>
  <c r="U1118" i="3"/>
  <c r="K1118" i="3"/>
  <c r="E1118" i="3"/>
  <c r="B1118" i="3"/>
  <c r="U1117" i="3"/>
  <c r="K1117" i="3"/>
  <c r="E1117" i="3"/>
  <c r="B1117" i="3"/>
  <c r="U1116" i="3"/>
  <c r="K1116" i="3"/>
  <c r="E1116" i="3"/>
  <c r="B1116" i="3"/>
  <c r="U1115" i="3"/>
  <c r="K1115" i="3"/>
  <c r="E1115" i="3"/>
  <c r="B1115" i="3"/>
  <c r="U1114" i="3"/>
  <c r="K1114" i="3"/>
  <c r="E1114" i="3"/>
  <c r="B1114" i="3"/>
  <c r="U1113" i="3"/>
  <c r="K1113" i="3"/>
  <c r="E1113" i="3"/>
  <c r="B1113" i="3"/>
  <c r="U1112" i="3"/>
  <c r="K1112" i="3"/>
  <c r="E1112" i="3"/>
  <c r="B1112" i="3"/>
  <c r="U1111" i="3"/>
  <c r="K1111" i="3"/>
  <c r="E1111" i="3"/>
  <c r="B1111" i="3"/>
  <c r="U1110" i="3"/>
  <c r="K1110" i="3"/>
  <c r="E1110" i="3"/>
  <c r="B1110" i="3"/>
  <c r="U1109" i="3"/>
  <c r="K1109" i="3"/>
  <c r="E1109" i="3"/>
  <c r="B1109" i="3"/>
  <c r="U1108" i="3"/>
  <c r="K1108" i="3"/>
  <c r="E1108" i="3"/>
  <c r="B1108" i="3"/>
  <c r="U1107" i="3"/>
  <c r="K1107" i="3"/>
  <c r="E1107" i="3"/>
  <c r="B1107" i="3"/>
  <c r="U1106" i="3"/>
  <c r="K1106" i="3"/>
  <c r="E1106" i="3"/>
  <c r="B1106" i="3"/>
  <c r="U1105" i="3"/>
  <c r="K1105" i="3"/>
  <c r="E1105" i="3"/>
  <c r="B1105" i="3"/>
  <c r="U1104" i="3"/>
  <c r="K1104" i="3"/>
  <c r="E1104" i="3"/>
  <c r="B1104" i="3"/>
  <c r="U1103" i="3"/>
  <c r="K1103" i="3"/>
  <c r="E1103" i="3"/>
  <c r="B1103" i="3"/>
  <c r="U1102" i="3"/>
  <c r="K1102" i="3"/>
  <c r="E1102" i="3"/>
  <c r="B1102" i="3"/>
  <c r="U1101" i="3"/>
  <c r="K1101" i="3"/>
  <c r="E1101" i="3"/>
  <c r="B1101" i="3"/>
  <c r="U1100" i="3"/>
  <c r="K1100" i="3"/>
  <c r="E1100" i="3"/>
  <c r="B1100" i="3"/>
  <c r="U1099" i="3"/>
  <c r="K1099" i="3"/>
  <c r="E1099" i="3"/>
  <c r="B1099" i="3"/>
  <c r="U1098" i="3"/>
  <c r="K1098" i="3"/>
  <c r="E1098" i="3"/>
  <c r="B1098" i="3"/>
  <c r="U1097" i="3"/>
  <c r="K1097" i="3"/>
  <c r="E1097" i="3"/>
  <c r="B1097" i="3"/>
  <c r="U1096" i="3"/>
  <c r="K1096" i="3"/>
  <c r="E1096" i="3"/>
  <c r="B1096" i="3"/>
  <c r="U1095" i="3"/>
  <c r="K1095" i="3"/>
  <c r="E1095" i="3"/>
  <c r="B1095" i="3"/>
  <c r="U1094" i="3"/>
  <c r="K1094" i="3"/>
  <c r="E1094" i="3"/>
  <c r="B1094" i="3"/>
  <c r="U1093" i="3"/>
  <c r="K1093" i="3"/>
  <c r="E1093" i="3"/>
  <c r="B1093" i="3"/>
  <c r="U1092" i="3"/>
  <c r="K1092" i="3"/>
  <c r="E1092" i="3"/>
  <c r="B1092" i="3"/>
  <c r="U1091" i="3"/>
  <c r="K1091" i="3"/>
  <c r="E1091" i="3"/>
  <c r="B1091" i="3"/>
  <c r="U1090" i="3"/>
  <c r="K1090" i="3"/>
  <c r="E1090" i="3"/>
  <c r="B1090" i="3"/>
  <c r="U1089" i="3"/>
  <c r="K1089" i="3"/>
  <c r="E1089" i="3"/>
  <c r="B1089" i="3"/>
  <c r="U1088" i="3"/>
  <c r="K1088" i="3"/>
  <c r="E1088" i="3"/>
  <c r="B1088" i="3"/>
  <c r="U1087" i="3"/>
  <c r="K1087" i="3"/>
  <c r="E1087" i="3"/>
  <c r="B1087" i="3"/>
  <c r="U1086" i="3"/>
  <c r="K1086" i="3"/>
  <c r="E1086" i="3"/>
  <c r="B1086" i="3"/>
  <c r="U1085" i="3"/>
  <c r="K1085" i="3"/>
  <c r="E1085" i="3"/>
  <c r="B1085" i="3"/>
  <c r="U1084" i="3"/>
  <c r="K1084" i="3"/>
  <c r="E1084" i="3"/>
  <c r="B1084" i="3"/>
  <c r="U1083" i="3"/>
  <c r="K1083" i="3"/>
  <c r="E1083" i="3"/>
  <c r="B1083" i="3"/>
  <c r="U1082" i="3"/>
  <c r="K1082" i="3"/>
  <c r="E1082" i="3"/>
  <c r="B1082" i="3"/>
  <c r="U1081" i="3"/>
  <c r="K1081" i="3"/>
  <c r="E1081" i="3"/>
  <c r="B1081" i="3"/>
  <c r="U1080" i="3"/>
  <c r="K1080" i="3"/>
  <c r="E1080" i="3"/>
  <c r="B1080" i="3"/>
  <c r="U1079" i="3"/>
  <c r="K1079" i="3"/>
  <c r="E1079" i="3"/>
  <c r="B1079" i="3"/>
  <c r="U1078" i="3"/>
  <c r="K1078" i="3"/>
  <c r="E1078" i="3"/>
  <c r="B1078" i="3"/>
  <c r="U1077" i="3"/>
  <c r="K1077" i="3"/>
  <c r="E1077" i="3"/>
  <c r="B1077" i="3"/>
  <c r="U1076" i="3"/>
  <c r="K1076" i="3"/>
  <c r="E1076" i="3"/>
  <c r="B1076" i="3"/>
  <c r="U1075" i="3"/>
  <c r="K1075" i="3"/>
  <c r="E1075" i="3"/>
  <c r="B1075" i="3"/>
  <c r="U1074" i="3"/>
  <c r="K1074" i="3"/>
  <c r="E1074" i="3"/>
  <c r="B1074" i="3"/>
  <c r="U1073" i="3"/>
  <c r="K1073" i="3"/>
  <c r="E1073" i="3"/>
  <c r="B1073" i="3"/>
  <c r="U1072" i="3"/>
  <c r="K1072" i="3"/>
  <c r="E1072" i="3"/>
  <c r="B1072" i="3"/>
  <c r="U1071" i="3"/>
  <c r="K1071" i="3"/>
  <c r="E1071" i="3"/>
  <c r="B1071" i="3"/>
  <c r="U1070" i="3"/>
  <c r="K1070" i="3"/>
  <c r="E1070" i="3"/>
  <c r="B1070" i="3"/>
  <c r="U1069" i="3"/>
  <c r="K1069" i="3"/>
  <c r="E1069" i="3"/>
  <c r="B1069" i="3"/>
  <c r="U1068" i="3"/>
  <c r="K1068" i="3"/>
  <c r="E1068" i="3"/>
  <c r="B1068" i="3"/>
  <c r="U1067" i="3"/>
  <c r="K1067" i="3"/>
  <c r="E1067" i="3"/>
  <c r="B1067" i="3"/>
  <c r="U1066" i="3"/>
  <c r="K1066" i="3"/>
  <c r="E1066" i="3"/>
  <c r="B1066" i="3"/>
  <c r="U1065" i="3"/>
  <c r="K1065" i="3"/>
  <c r="E1065" i="3"/>
  <c r="B1065" i="3"/>
  <c r="U1064" i="3"/>
  <c r="K1064" i="3"/>
  <c r="E1064" i="3"/>
  <c r="B1064" i="3"/>
  <c r="U1063" i="3"/>
  <c r="K1063" i="3"/>
  <c r="E1063" i="3"/>
  <c r="B1063" i="3"/>
  <c r="U1062" i="3"/>
  <c r="K1062" i="3"/>
  <c r="E1062" i="3"/>
  <c r="B1062" i="3"/>
  <c r="U1061" i="3"/>
  <c r="K1061" i="3"/>
  <c r="E1061" i="3"/>
  <c r="B1061" i="3"/>
  <c r="U1060" i="3"/>
  <c r="K1060" i="3"/>
  <c r="E1060" i="3"/>
  <c r="B1060" i="3"/>
  <c r="U1059" i="3"/>
  <c r="K1059" i="3"/>
  <c r="E1059" i="3"/>
  <c r="B1059" i="3"/>
  <c r="U1058" i="3"/>
  <c r="K1058" i="3"/>
  <c r="E1058" i="3"/>
  <c r="B1058" i="3"/>
  <c r="U1057" i="3"/>
  <c r="K1057" i="3"/>
  <c r="E1057" i="3"/>
  <c r="B1057" i="3"/>
  <c r="U1056" i="3"/>
  <c r="K1056" i="3"/>
  <c r="E1056" i="3"/>
  <c r="B1056" i="3"/>
  <c r="U1055" i="3"/>
  <c r="K1055" i="3"/>
  <c r="E1055" i="3"/>
  <c r="B1055" i="3"/>
  <c r="U1054" i="3"/>
  <c r="K1054" i="3"/>
  <c r="E1054" i="3"/>
  <c r="B1054" i="3"/>
  <c r="U1053" i="3"/>
  <c r="K1053" i="3"/>
  <c r="E1053" i="3"/>
  <c r="B1053" i="3"/>
  <c r="U1052" i="3"/>
  <c r="K1052" i="3"/>
  <c r="E1052" i="3"/>
  <c r="B1052" i="3"/>
  <c r="U1051" i="3"/>
  <c r="K1051" i="3"/>
  <c r="E1051" i="3"/>
  <c r="B1051" i="3"/>
  <c r="U1050" i="3"/>
  <c r="K1050" i="3"/>
  <c r="E1050" i="3"/>
  <c r="B1050" i="3"/>
  <c r="U1049" i="3"/>
  <c r="K1049" i="3"/>
  <c r="E1049" i="3"/>
  <c r="B1049" i="3"/>
  <c r="U1048" i="3"/>
  <c r="K1048" i="3"/>
  <c r="E1048" i="3"/>
  <c r="B1048" i="3"/>
  <c r="U1047" i="3"/>
  <c r="K1047" i="3"/>
  <c r="E1047" i="3"/>
  <c r="B1047" i="3"/>
  <c r="U1046" i="3"/>
  <c r="K1046" i="3"/>
  <c r="E1046" i="3"/>
  <c r="B1046" i="3"/>
  <c r="U1045" i="3"/>
  <c r="K1045" i="3"/>
  <c r="E1045" i="3"/>
  <c r="B1045" i="3"/>
  <c r="U1044" i="3"/>
  <c r="K1044" i="3"/>
  <c r="E1044" i="3"/>
  <c r="B1044" i="3"/>
  <c r="U1043" i="3"/>
  <c r="K1043" i="3"/>
  <c r="E1043" i="3"/>
  <c r="B1043" i="3"/>
  <c r="U1042" i="3"/>
  <c r="K1042" i="3"/>
  <c r="E1042" i="3"/>
  <c r="B1042" i="3"/>
  <c r="U1041" i="3"/>
  <c r="K1041" i="3"/>
  <c r="E1041" i="3"/>
  <c r="B1041" i="3"/>
  <c r="U1040" i="3"/>
  <c r="K1040" i="3"/>
  <c r="E1040" i="3"/>
  <c r="B1040" i="3"/>
  <c r="U1039" i="3"/>
  <c r="K1039" i="3"/>
  <c r="E1039" i="3"/>
  <c r="B1039" i="3"/>
  <c r="U1038" i="3"/>
  <c r="K1038" i="3"/>
  <c r="E1038" i="3"/>
  <c r="B1038" i="3"/>
  <c r="U1037" i="3"/>
  <c r="K1037" i="3"/>
  <c r="E1037" i="3"/>
  <c r="B1037" i="3"/>
  <c r="U1036" i="3"/>
  <c r="K1036" i="3"/>
  <c r="E1036" i="3"/>
  <c r="B1036" i="3"/>
  <c r="U1035" i="3"/>
  <c r="K1035" i="3"/>
  <c r="E1035" i="3"/>
  <c r="B1035" i="3"/>
  <c r="U1034" i="3"/>
  <c r="K1034" i="3"/>
  <c r="E1034" i="3"/>
  <c r="B1034" i="3"/>
  <c r="U1033" i="3"/>
  <c r="K1033" i="3"/>
  <c r="E1033" i="3"/>
  <c r="B1033" i="3"/>
  <c r="U1032" i="3"/>
  <c r="K1032" i="3"/>
  <c r="E1032" i="3"/>
  <c r="B1032" i="3"/>
  <c r="U1031" i="3"/>
  <c r="K1031" i="3"/>
  <c r="E1031" i="3"/>
  <c r="B1031" i="3"/>
  <c r="U1030" i="3"/>
  <c r="K1030" i="3"/>
  <c r="E1030" i="3"/>
  <c r="B1030" i="3"/>
  <c r="U1029" i="3"/>
  <c r="K1029" i="3"/>
  <c r="E1029" i="3"/>
  <c r="B1029" i="3"/>
  <c r="U1028" i="3"/>
  <c r="K1028" i="3"/>
  <c r="E1028" i="3"/>
  <c r="B1028" i="3"/>
  <c r="U1027" i="3"/>
  <c r="K1027" i="3"/>
  <c r="E1027" i="3"/>
  <c r="B1027" i="3"/>
  <c r="U1026" i="3"/>
  <c r="K1026" i="3"/>
  <c r="E1026" i="3"/>
  <c r="B1026" i="3"/>
  <c r="U1025" i="3"/>
  <c r="K1025" i="3"/>
  <c r="E1025" i="3"/>
  <c r="B1025" i="3"/>
  <c r="U1024" i="3"/>
  <c r="K1024" i="3"/>
  <c r="E1024" i="3"/>
  <c r="B1024" i="3"/>
  <c r="U1023" i="3"/>
  <c r="K1023" i="3"/>
  <c r="E1023" i="3"/>
  <c r="B1023" i="3"/>
  <c r="U1022" i="3"/>
  <c r="K1022" i="3"/>
  <c r="E1022" i="3"/>
  <c r="B1022" i="3"/>
  <c r="U1021" i="3"/>
  <c r="K1021" i="3"/>
  <c r="E1021" i="3"/>
  <c r="B1021" i="3"/>
  <c r="U1020" i="3"/>
  <c r="K1020" i="3"/>
  <c r="E1020" i="3"/>
  <c r="B1020" i="3"/>
  <c r="U1019" i="3"/>
  <c r="K1019" i="3"/>
  <c r="E1019" i="3"/>
  <c r="B1019" i="3"/>
  <c r="U1018" i="3"/>
  <c r="K1018" i="3"/>
  <c r="E1018" i="3"/>
  <c r="B1018" i="3"/>
  <c r="U1017" i="3"/>
  <c r="K1017" i="3"/>
  <c r="E1017" i="3"/>
  <c r="B1017" i="3"/>
  <c r="U1016" i="3"/>
  <c r="K1016" i="3"/>
  <c r="E1016" i="3"/>
  <c r="B1016" i="3"/>
  <c r="U1015" i="3"/>
  <c r="K1015" i="3"/>
  <c r="E1015" i="3"/>
  <c r="B1015" i="3"/>
  <c r="U1014" i="3"/>
  <c r="K1014" i="3"/>
  <c r="E1014" i="3"/>
  <c r="B1014" i="3"/>
  <c r="U1013" i="3"/>
  <c r="K1013" i="3"/>
  <c r="E1013" i="3"/>
  <c r="B1013" i="3"/>
  <c r="U1012" i="3"/>
  <c r="K1012" i="3"/>
  <c r="E1012" i="3"/>
  <c r="B1012" i="3"/>
  <c r="U1011" i="3"/>
  <c r="K1011" i="3"/>
  <c r="E1011" i="3"/>
  <c r="B1011" i="3"/>
  <c r="U1010" i="3"/>
  <c r="K1010" i="3"/>
  <c r="E1010" i="3"/>
  <c r="B1010" i="3"/>
  <c r="U1009" i="3"/>
  <c r="K1009" i="3"/>
  <c r="E1009" i="3"/>
  <c r="B1009" i="3"/>
  <c r="U1008" i="3"/>
  <c r="K1008" i="3"/>
  <c r="E1008" i="3"/>
  <c r="B1008" i="3"/>
  <c r="U1007" i="3"/>
  <c r="K1007" i="3"/>
  <c r="E1007" i="3"/>
  <c r="B1007" i="3"/>
  <c r="U1006" i="3"/>
  <c r="K1006" i="3"/>
  <c r="E1006" i="3"/>
  <c r="B1006" i="3"/>
  <c r="U1005" i="3"/>
  <c r="K1005" i="3"/>
  <c r="E1005" i="3"/>
  <c r="B1005" i="3"/>
  <c r="U1004" i="3"/>
  <c r="K1004" i="3"/>
  <c r="E1004" i="3"/>
  <c r="B1004" i="3"/>
  <c r="U1003" i="3"/>
  <c r="K1003" i="3"/>
  <c r="E1003" i="3"/>
  <c r="B1003" i="3"/>
  <c r="U1002" i="3"/>
  <c r="K1002" i="3"/>
  <c r="E1002" i="3"/>
  <c r="B1002" i="3"/>
  <c r="U1001" i="3"/>
  <c r="K1001" i="3"/>
  <c r="E1001" i="3"/>
  <c r="B1001" i="3"/>
  <c r="U1000" i="3"/>
  <c r="K1000" i="3"/>
  <c r="E1000" i="3"/>
  <c r="B1000" i="3"/>
  <c r="U999" i="3"/>
  <c r="K999" i="3"/>
  <c r="E999" i="3"/>
  <c r="B999" i="3"/>
  <c r="U998" i="3"/>
  <c r="K998" i="3"/>
  <c r="E998" i="3"/>
  <c r="B998" i="3"/>
  <c r="U997" i="3"/>
  <c r="K997" i="3"/>
  <c r="E997" i="3"/>
  <c r="B997" i="3"/>
  <c r="U996" i="3"/>
  <c r="K996" i="3"/>
  <c r="E996" i="3"/>
  <c r="B996" i="3"/>
  <c r="K995" i="3"/>
  <c r="E995" i="3"/>
  <c r="B995" i="3"/>
  <c r="U994" i="3"/>
  <c r="K994" i="3"/>
  <c r="E994" i="3"/>
  <c r="B994" i="3"/>
  <c r="U993" i="3"/>
  <c r="K993" i="3"/>
  <c r="E993" i="3"/>
  <c r="B993" i="3"/>
  <c r="U992" i="3"/>
  <c r="K992" i="3"/>
  <c r="E992" i="3"/>
  <c r="B992" i="3"/>
  <c r="U991" i="3"/>
  <c r="K991" i="3"/>
  <c r="E991" i="3"/>
  <c r="B991" i="3"/>
  <c r="U990" i="3"/>
  <c r="K990" i="3"/>
  <c r="E990" i="3"/>
  <c r="B990" i="3"/>
  <c r="U989" i="3"/>
  <c r="K989" i="3"/>
  <c r="E989" i="3"/>
  <c r="B989" i="3"/>
  <c r="U988" i="3"/>
  <c r="K988" i="3"/>
  <c r="E988" i="3"/>
  <c r="B988" i="3"/>
  <c r="K987" i="3"/>
  <c r="E987" i="3"/>
  <c r="B987" i="3"/>
  <c r="U986" i="3"/>
  <c r="K986" i="3"/>
  <c r="E986" i="3"/>
  <c r="B986" i="3"/>
  <c r="U985" i="3"/>
  <c r="K985" i="3"/>
  <c r="E985" i="3"/>
  <c r="B985" i="3"/>
  <c r="U984" i="3"/>
  <c r="K984" i="3"/>
  <c r="E984" i="3"/>
  <c r="B984" i="3"/>
  <c r="U983" i="3"/>
  <c r="K983" i="3"/>
  <c r="E983" i="3"/>
  <c r="B983" i="3"/>
  <c r="U982" i="3"/>
  <c r="K982" i="3"/>
  <c r="E982" i="3"/>
  <c r="B982" i="3"/>
  <c r="U981" i="3"/>
  <c r="K981" i="3"/>
  <c r="E981" i="3"/>
  <c r="B981" i="3"/>
  <c r="U980" i="3"/>
  <c r="K980" i="3"/>
  <c r="E980" i="3"/>
  <c r="B980" i="3"/>
  <c r="U979" i="3"/>
  <c r="K979" i="3"/>
  <c r="E979" i="3"/>
  <c r="B979" i="3"/>
  <c r="U978" i="3"/>
  <c r="K978" i="3"/>
  <c r="E978" i="3"/>
  <c r="B978" i="3"/>
  <c r="U977" i="3"/>
  <c r="K977" i="3"/>
  <c r="E977" i="3"/>
  <c r="B977" i="3"/>
  <c r="U976" i="3"/>
  <c r="K976" i="3"/>
  <c r="E976" i="3"/>
  <c r="B976" i="3"/>
  <c r="U975" i="3"/>
  <c r="K975" i="3"/>
  <c r="E975" i="3"/>
  <c r="B975" i="3"/>
  <c r="U974" i="3"/>
  <c r="K974" i="3"/>
  <c r="E974" i="3"/>
  <c r="B974" i="3"/>
  <c r="U973" i="3"/>
  <c r="K973" i="3"/>
  <c r="E973" i="3"/>
  <c r="B973" i="3"/>
  <c r="U972" i="3"/>
  <c r="K972" i="3"/>
  <c r="E972" i="3"/>
  <c r="B972" i="3"/>
  <c r="U971" i="3"/>
  <c r="K971" i="3"/>
  <c r="E971" i="3"/>
  <c r="B971" i="3"/>
  <c r="U970" i="3"/>
  <c r="K970" i="3"/>
  <c r="E970" i="3"/>
  <c r="B970" i="3"/>
  <c r="U969" i="3"/>
  <c r="K969" i="3"/>
  <c r="E969" i="3"/>
  <c r="B969" i="3"/>
  <c r="U968" i="3"/>
  <c r="K968" i="3"/>
  <c r="E968" i="3"/>
  <c r="B968" i="3"/>
  <c r="U967" i="3"/>
  <c r="K967" i="3"/>
  <c r="E967" i="3"/>
  <c r="B967" i="3"/>
  <c r="U966" i="3"/>
  <c r="K966" i="3"/>
  <c r="E966" i="3"/>
  <c r="B966" i="3"/>
  <c r="U965" i="3"/>
  <c r="K965" i="3"/>
  <c r="E965" i="3"/>
  <c r="B965" i="3"/>
  <c r="U964" i="3"/>
  <c r="K964" i="3"/>
  <c r="E964" i="3"/>
  <c r="B964" i="3"/>
  <c r="U963" i="3"/>
  <c r="K963" i="3"/>
  <c r="E963" i="3"/>
  <c r="B963" i="3"/>
  <c r="U962" i="3"/>
  <c r="K962" i="3"/>
  <c r="E962" i="3"/>
  <c r="B962" i="3"/>
  <c r="U961" i="3"/>
  <c r="K961" i="3"/>
  <c r="E961" i="3"/>
  <c r="B961" i="3"/>
  <c r="U960" i="3"/>
  <c r="K960" i="3"/>
  <c r="E960" i="3"/>
  <c r="B960" i="3"/>
  <c r="U959" i="3"/>
  <c r="K959" i="3"/>
  <c r="E959" i="3"/>
  <c r="B959" i="3"/>
  <c r="U958" i="3"/>
  <c r="K958" i="3"/>
  <c r="E958" i="3"/>
  <c r="B958" i="3"/>
  <c r="U957" i="3"/>
  <c r="K957" i="3"/>
  <c r="E957" i="3"/>
  <c r="B957" i="3"/>
  <c r="U956" i="3"/>
  <c r="K956" i="3"/>
  <c r="E956" i="3"/>
  <c r="B956" i="3"/>
  <c r="U955" i="3"/>
  <c r="K955" i="3"/>
  <c r="E955" i="3"/>
  <c r="B955" i="3"/>
  <c r="U954" i="3"/>
  <c r="K954" i="3"/>
  <c r="E954" i="3"/>
  <c r="B954" i="3"/>
  <c r="U953" i="3"/>
  <c r="K953" i="3"/>
  <c r="E953" i="3"/>
  <c r="B953" i="3"/>
  <c r="U952" i="3"/>
  <c r="K952" i="3"/>
  <c r="E952" i="3"/>
  <c r="B952" i="3"/>
  <c r="U951" i="3"/>
  <c r="K951" i="3"/>
  <c r="E951" i="3"/>
  <c r="B951" i="3"/>
  <c r="U950" i="3"/>
  <c r="K950" i="3"/>
  <c r="E950" i="3"/>
  <c r="B950" i="3"/>
  <c r="U949" i="3"/>
  <c r="K949" i="3"/>
  <c r="E949" i="3"/>
  <c r="B949" i="3"/>
  <c r="U948" i="3"/>
  <c r="K948" i="3"/>
  <c r="E948" i="3"/>
  <c r="B948" i="3"/>
  <c r="U947" i="3"/>
  <c r="K947" i="3"/>
  <c r="E947" i="3"/>
  <c r="B947" i="3"/>
  <c r="U946" i="3"/>
  <c r="K946" i="3"/>
  <c r="E946" i="3"/>
  <c r="B946" i="3"/>
  <c r="U945" i="3"/>
  <c r="K945" i="3"/>
  <c r="E945" i="3"/>
  <c r="B945" i="3"/>
  <c r="U944" i="3"/>
  <c r="K944" i="3"/>
  <c r="E944" i="3"/>
  <c r="B944" i="3"/>
  <c r="U943" i="3"/>
  <c r="K943" i="3"/>
  <c r="E943" i="3"/>
  <c r="B943" i="3"/>
  <c r="U942" i="3"/>
  <c r="K942" i="3"/>
  <c r="E942" i="3"/>
  <c r="B942" i="3"/>
  <c r="U941" i="3"/>
  <c r="K941" i="3"/>
  <c r="E941" i="3"/>
  <c r="B941" i="3"/>
  <c r="U940" i="3"/>
  <c r="K940" i="3"/>
  <c r="E940" i="3"/>
  <c r="B940" i="3"/>
  <c r="U939" i="3"/>
  <c r="K939" i="3"/>
  <c r="E939" i="3"/>
  <c r="B939" i="3"/>
  <c r="U938" i="3"/>
  <c r="K938" i="3"/>
  <c r="E938" i="3"/>
  <c r="B938" i="3"/>
  <c r="U937" i="3"/>
  <c r="K937" i="3"/>
  <c r="E937" i="3"/>
  <c r="B937" i="3"/>
  <c r="U936" i="3"/>
  <c r="K936" i="3"/>
  <c r="E936" i="3"/>
  <c r="B936" i="3"/>
  <c r="U935" i="3"/>
  <c r="K935" i="3"/>
  <c r="E935" i="3"/>
  <c r="B935" i="3"/>
  <c r="U934" i="3"/>
  <c r="K934" i="3"/>
  <c r="E934" i="3"/>
  <c r="B934" i="3"/>
  <c r="U933" i="3"/>
  <c r="K933" i="3"/>
  <c r="E933" i="3"/>
  <c r="B933" i="3"/>
  <c r="U932" i="3"/>
  <c r="K932" i="3"/>
  <c r="E932" i="3"/>
  <c r="B932" i="3"/>
  <c r="U931" i="3"/>
  <c r="K931" i="3"/>
  <c r="E931" i="3"/>
  <c r="B931" i="3"/>
  <c r="U930" i="3"/>
  <c r="K930" i="3"/>
  <c r="E930" i="3"/>
  <c r="B930" i="3"/>
  <c r="U929" i="3"/>
  <c r="K929" i="3"/>
  <c r="E929" i="3"/>
  <c r="B929" i="3"/>
  <c r="U928" i="3"/>
  <c r="K928" i="3"/>
  <c r="E928" i="3"/>
  <c r="B928" i="3"/>
  <c r="U927" i="3"/>
  <c r="K927" i="3"/>
  <c r="E927" i="3"/>
  <c r="B927" i="3"/>
  <c r="U926" i="3"/>
  <c r="K926" i="3"/>
  <c r="E926" i="3"/>
  <c r="B926" i="3"/>
  <c r="U925" i="3"/>
  <c r="K925" i="3"/>
  <c r="E925" i="3"/>
  <c r="B925" i="3"/>
  <c r="U924" i="3"/>
  <c r="K924" i="3"/>
  <c r="E924" i="3"/>
  <c r="B924" i="3"/>
  <c r="U923" i="3"/>
  <c r="K923" i="3"/>
  <c r="E923" i="3"/>
  <c r="B923" i="3"/>
  <c r="U922" i="3"/>
  <c r="K922" i="3"/>
  <c r="E922" i="3"/>
  <c r="B922" i="3"/>
  <c r="U921" i="3"/>
  <c r="K921" i="3"/>
  <c r="E921" i="3"/>
  <c r="B921" i="3"/>
  <c r="U920" i="3"/>
  <c r="K920" i="3"/>
  <c r="E920" i="3"/>
  <c r="B920" i="3"/>
  <c r="U919" i="3"/>
  <c r="K919" i="3"/>
  <c r="E919" i="3"/>
  <c r="B919" i="3"/>
  <c r="U918" i="3"/>
  <c r="K918" i="3"/>
  <c r="E918" i="3"/>
  <c r="B918" i="3"/>
  <c r="U917" i="3"/>
  <c r="K917" i="3"/>
  <c r="E917" i="3"/>
  <c r="B917" i="3"/>
  <c r="U916" i="3"/>
  <c r="K916" i="3"/>
  <c r="E916" i="3"/>
  <c r="B916" i="3"/>
  <c r="U915" i="3"/>
  <c r="K915" i="3"/>
  <c r="E915" i="3"/>
  <c r="B915" i="3"/>
  <c r="U914" i="3"/>
  <c r="K914" i="3"/>
  <c r="E914" i="3"/>
  <c r="B914" i="3"/>
  <c r="U913" i="3"/>
  <c r="K913" i="3"/>
  <c r="E913" i="3"/>
  <c r="B913" i="3"/>
  <c r="U912" i="3"/>
  <c r="K912" i="3"/>
  <c r="E912" i="3"/>
  <c r="B912" i="3"/>
  <c r="U911" i="3"/>
  <c r="K911" i="3"/>
  <c r="E911" i="3"/>
  <c r="B911" i="3"/>
  <c r="U910" i="3"/>
  <c r="K910" i="3"/>
  <c r="E910" i="3"/>
  <c r="B910" i="3"/>
  <c r="U909" i="3"/>
  <c r="K909" i="3"/>
  <c r="E909" i="3"/>
  <c r="B909" i="3"/>
  <c r="U908" i="3"/>
  <c r="K908" i="3"/>
  <c r="E908" i="3"/>
  <c r="B908" i="3"/>
  <c r="U907" i="3"/>
  <c r="K907" i="3"/>
  <c r="E907" i="3"/>
  <c r="B907" i="3"/>
  <c r="U906" i="3"/>
  <c r="K906" i="3"/>
  <c r="E906" i="3"/>
  <c r="B906" i="3"/>
  <c r="U905" i="3"/>
  <c r="K905" i="3"/>
  <c r="E905" i="3"/>
  <c r="B905" i="3"/>
  <c r="U904" i="3"/>
  <c r="K904" i="3"/>
  <c r="E904" i="3"/>
  <c r="B904" i="3"/>
  <c r="U903" i="3"/>
  <c r="K903" i="3"/>
  <c r="E903" i="3"/>
  <c r="B903" i="3"/>
  <c r="U902" i="3"/>
  <c r="K902" i="3"/>
  <c r="E902" i="3"/>
  <c r="B902" i="3"/>
  <c r="U901" i="3"/>
  <c r="K901" i="3"/>
  <c r="E901" i="3"/>
  <c r="B901" i="3"/>
  <c r="U900" i="3"/>
  <c r="K900" i="3"/>
  <c r="E900" i="3"/>
  <c r="B900" i="3"/>
  <c r="U899" i="3"/>
  <c r="K899" i="3"/>
  <c r="E899" i="3"/>
  <c r="B899" i="3"/>
  <c r="U898" i="3"/>
  <c r="K898" i="3"/>
  <c r="E898" i="3"/>
  <c r="B898" i="3"/>
  <c r="U897" i="3"/>
  <c r="K897" i="3"/>
  <c r="E897" i="3"/>
  <c r="B897" i="3"/>
  <c r="U896" i="3"/>
  <c r="K896" i="3"/>
  <c r="E896" i="3"/>
  <c r="B896" i="3"/>
  <c r="U895" i="3"/>
  <c r="K895" i="3"/>
  <c r="E895" i="3"/>
  <c r="B895" i="3"/>
  <c r="U894" i="3"/>
  <c r="K894" i="3"/>
  <c r="E894" i="3"/>
  <c r="B894" i="3"/>
  <c r="U893" i="3"/>
  <c r="K893" i="3"/>
  <c r="E893" i="3"/>
  <c r="B893" i="3"/>
  <c r="U892" i="3"/>
  <c r="K892" i="3"/>
  <c r="E892" i="3"/>
  <c r="B892" i="3"/>
  <c r="U891" i="3"/>
  <c r="K891" i="3"/>
  <c r="E891" i="3"/>
  <c r="B891" i="3"/>
  <c r="U890" i="3"/>
  <c r="K890" i="3"/>
  <c r="E890" i="3"/>
  <c r="B890" i="3"/>
  <c r="U889" i="3"/>
  <c r="K889" i="3"/>
  <c r="E889" i="3"/>
  <c r="B889" i="3"/>
  <c r="U888" i="3"/>
  <c r="K888" i="3"/>
  <c r="E888" i="3"/>
  <c r="B888" i="3"/>
  <c r="U887" i="3"/>
  <c r="K887" i="3"/>
  <c r="E887" i="3"/>
  <c r="B887" i="3"/>
  <c r="U886" i="3"/>
  <c r="K886" i="3"/>
  <c r="E886" i="3"/>
  <c r="B886" i="3"/>
  <c r="U885" i="3"/>
  <c r="K885" i="3"/>
  <c r="E885" i="3"/>
  <c r="B885" i="3"/>
  <c r="U884" i="3"/>
  <c r="K884" i="3"/>
  <c r="E884" i="3"/>
  <c r="B884" i="3"/>
  <c r="U883" i="3"/>
  <c r="K883" i="3"/>
  <c r="E883" i="3"/>
  <c r="B883" i="3"/>
  <c r="U882" i="3"/>
  <c r="K882" i="3"/>
  <c r="E882" i="3"/>
  <c r="B882" i="3"/>
  <c r="U881" i="3"/>
  <c r="K881" i="3"/>
  <c r="E881" i="3"/>
  <c r="B881" i="3"/>
  <c r="U880" i="3"/>
  <c r="K880" i="3"/>
  <c r="E880" i="3"/>
  <c r="B880" i="3"/>
  <c r="U879" i="3"/>
  <c r="K879" i="3"/>
  <c r="E879" i="3"/>
  <c r="B879" i="3"/>
  <c r="U878" i="3"/>
  <c r="K878" i="3"/>
  <c r="E878" i="3"/>
  <c r="B878" i="3"/>
  <c r="U877" i="3"/>
  <c r="K877" i="3"/>
  <c r="E877" i="3"/>
  <c r="B877" i="3"/>
  <c r="U876" i="3"/>
  <c r="K876" i="3"/>
  <c r="E876" i="3"/>
  <c r="B876" i="3"/>
  <c r="U875" i="3"/>
  <c r="K875" i="3"/>
  <c r="E875" i="3"/>
  <c r="B875" i="3"/>
  <c r="U874" i="3"/>
  <c r="K874" i="3"/>
  <c r="E874" i="3"/>
  <c r="B874" i="3"/>
  <c r="U873" i="3"/>
  <c r="K873" i="3"/>
  <c r="E873" i="3"/>
  <c r="B873" i="3"/>
  <c r="U872" i="3"/>
  <c r="K872" i="3"/>
  <c r="E872" i="3"/>
  <c r="B872" i="3"/>
  <c r="U871" i="3"/>
  <c r="K871" i="3"/>
  <c r="E871" i="3"/>
  <c r="B871" i="3"/>
  <c r="U870" i="3"/>
  <c r="K870" i="3"/>
  <c r="E870" i="3"/>
  <c r="B870" i="3"/>
  <c r="U869" i="3"/>
  <c r="K869" i="3"/>
  <c r="E869" i="3"/>
  <c r="B869" i="3"/>
  <c r="U868" i="3"/>
  <c r="K868" i="3"/>
  <c r="E868" i="3"/>
  <c r="B868" i="3"/>
  <c r="U867" i="3"/>
  <c r="K867" i="3"/>
  <c r="E867" i="3"/>
  <c r="B867" i="3"/>
  <c r="U866" i="3"/>
  <c r="K866" i="3"/>
  <c r="E866" i="3"/>
  <c r="B866" i="3"/>
  <c r="U865" i="3"/>
  <c r="K865" i="3"/>
  <c r="E865" i="3"/>
  <c r="B865" i="3"/>
  <c r="U864" i="3"/>
  <c r="K864" i="3"/>
  <c r="E864" i="3"/>
  <c r="B864" i="3"/>
  <c r="U863" i="3"/>
  <c r="K863" i="3"/>
  <c r="E863" i="3"/>
  <c r="B863" i="3"/>
  <c r="U862" i="3"/>
  <c r="K862" i="3"/>
  <c r="E862" i="3"/>
  <c r="B862" i="3"/>
  <c r="U861" i="3"/>
  <c r="K861" i="3"/>
  <c r="E861" i="3"/>
  <c r="B861" i="3"/>
  <c r="U860" i="3"/>
  <c r="K860" i="3"/>
  <c r="E860" i="3"/>
  <c r="B860" i="3"/>
  <c r="U859" i="3"/>
  <c r="K859" i="3"/>
  <c r="E859" i="3"/>
  <c r="B859" i="3"/>
  <c r="U858" i="3"/>
  <c r="K858" i="3"/>
  <c r="E858" i="3"/>
  <c r="B858" i="3"/>
  <c r="U857" i="3"/>
  <c r="K857" i="3"/>
  <c r="E857" i="3"/>
  <c r="B857" i="3"/>
  <c r="U856" i="3"/>
  <c r="K856" i="3"/>
  <c r="E856" i="3"/>
  <c r="B856" i="3"/>
  <c r="U855" i="3"/>
  <c r="K855" i="3"/>
  <c r="H855" i="3"/>
  <c r="E855" i="3"/>
  <c r="B855" i="3"/>
  <c r="U854" i="3"/>
  <c r="K854" i="3"/>
  <c r="E854" i="3"/>
  <c r="B854" i="3"/>
  <c r="U853" i="3"/>
  <c r="K853" i="3"/>
  <c r="E853" i="3"/>
  <c r="B853" i="3"/>
  <c r="U852" i="3"/>
  <c r="K852" i="3"/>
  <c r="E852" i="3"/>
  <c r="B852" i="3"/>
  <c r="U851" i="3"/>
  <c r="K851" i="3"/>
  <c r="E851" i="3"/>
  <c r="B851" i="3"/>
  <c r="U850" i="3"/>
  <c r="K850" i="3"/>
  <c r="E850" i="3"/>
  <c r="B850" i="3"/>
  <c r="U849" i="3"/>
  <c r="K849" i="3"/>
  <c r="E849" i="3"/>
  <c r="B849" i="3"/>
  <c r="U848" i="3"/>
  <c r="K848" i="3"/>
  <c r="E848" i="3"/>
  <c r="B848" i="3"/>
  <c r="U847" i="3"/>
  <c r="K847" i="3"/>
  <c r="E847" i="3"/>
  <c r="B847" i="3"/>
  <c r="U846" i="3"/>
  <c r="K846" i="3"/>
  <c r="E846" i="3"/>
  <c r="B846" i="3"/>
  <c r="U845" i="3"/>
  <c r="K845" i="3"/>
  <c r="E845" i="3"/>
  <c r="B845" i="3"/>
  <c r="U844" i="3"/>
  <c r="K844" i="3"/>
  <c r="E844" i="3"/>
  <c r="B844" i="3"/>
  <c r="U843" i="3"/>
  <c r="K843" i="3"/>
  <c r="E843" i="3"/>
  <c r="B843" i="3"/>
  <c r="U842" i="3"/>
  <c r="K842" i="3"/>
  <c r="E842" i="3"/>
  <c r="B842" i="3"/>
  <c r="U841" i="3"/>
  <c r="K841" i="3"/>
  <c r="E841" i="3"/>
  <c r="B841" i="3"/>
  <c r="U840" i="3"/>
  <c r="K840" i="3"/>
  <c r="E840" i="3"/>
  <c r="B840" i="3"/>
  <c r="U839" i="3"/>
  <c r="K839" i="3"/>
  <c r="E839" i="3"/>
  <c r="B839" i="3"/>
  <c r="U838" i="3"/>
  <c r="K838" i="3"/>
  <c r="E838" i="3"/>
  <c r="B838" i="3"/>
  <c r="U837" i="3"/>
  <c r="K837" i="3"/>
  <c r="E837" i="3"/>
  <c r="B837" i="3"/>
  <c r="U836" i="3"/>
  <c r="K836" i="3"/>
  <c r="E836" i="3"/>
  <c r="B836" i="3"/>
  <c r="U835" i="3"/>
  <c r="K835" i="3"/>
  <c r="E835" i="3"/>
  <c r="B835" i="3"/>
  <c r="U834" i="3"/>
  <c r="K834" i="3"/>
  <c r="E834" i="3"/>
  <c r="B834" i="3"/>
  <c r="U833" i="3"/>
  <c r="K833" i="3"/>
  <c r="E833" i="3"/>
  <c r="B833" i="3"/>
  <c r="U832" i="3"/>
  <c r="K832" i="3"/>
  <c r="E832" i="3"/>
  <c r="B832" i="3"/>
  <c r="U831" i="3"/>
  <c r="K831" i="3"/>
  <c r="E831" i="3"/>
  <c r="B831" i="3"/>
  <c r="U830" i="3"/>
  <c r="K830" i="3"/>
  <c r="E830" i="3"/>
  <c r="B830" i="3"/>
  <c r="U829" i="3"/>
  <c r="K829" i="3"/>
  <c r="E829" i="3"/>
  <c r="B829" i="3"/>
  <c r="U828" i="3"/>
  <c r="K828" i="3"/>
  <c r="E828" i="3"/>
  <c r="B828" i="3"/>
  <c r="U827" i="3"/>
  <c r="K827" i="3"/>
  <c r="E827" i="3"/>
  <c r="B827" i="3"/>
  <c r="U826" i="3"/>
  <c r="K826" i="3"/>
  <c r="E826" i="3"/>
  <c r="B826" i="3"/>
  <c r="U825" i="3"/>
  <c r="K825" i="3"/>
  <c r="E825" i="3"/>
  <c r="B825" i="3"/>
  <c r="U824" i="3"/>
  <c r="K824" i="3"/>
  <c r="E824" i="3"/>
  <c r="B824" i="3"/>
  <c r="U823" i="3"/>
  <c r="K823" i="3"/>
  <c r="E823" i="3"/>
  <c r="B823" i="3"/>
  <c r="U822" i="3"/>
  <c r="K822" i="3"/>
  <c r="E822" i="3"/>
  <c r="B822" i="3"/>
  <c r="U821" i="3"/>
  <c r="K821" i="3"/>
  <c r="E821" i="3"/>
  <c r="B821" i="3"/>
  <c r="U820" i="3"/>
  <c r="K820" i="3"/>
  <c r="E820" i="3"/>
  <c r="B820" i="3"/>
  <c r="U819" i="3"/>
  <c r="K819" i="3"/>
  <c r="E819" i="3"/>
  <c r="B819" i="3"/>
  <c r="U818" i="3"/>
  <c r="K818" i="3"/>
  <c r="E818" i="3"/>
  <c r="B818" i="3"/>
  <c r="U817" i="3"/>
  <c r="K817" i="3"/>
  <c r="E817" i="3"/>
  <c r="B817" i="3"/>
  <c r="U816" i="3"/>
  <c r="K816" i="3"/>
  <c r="E816" i="3"/>
  <c r="B816" i="3"/>
  <c r="U815" i="3"/>
  <c r="K815" i="3"/>
  <c r="E815" i="3"/>
  <c r="B815" i="3"/>
  <c r="U814" i="3"/>
  <c r="K814" i="3"/>
  <c r="E814" i="3"/>
  <c r="B814" i="3"/>
  <c r="U813" i="3"/>
  <c r="K813" i="3"/>
  <c r="E813" i="3"/>
  <c r="B813" i="3"/>
  <c r="U812" i="3"/>
  <c r="K812" i="3"/>
  <c r="E812" i="3"/>
  <c r="B812" i="3"/>
  <c r="U811" i="3"/>
  <c r="K811" i="3"/>
  <c r="E811" i="3"/>
  <c r="B811" i="3"/>
  <c r="U810" i="3"/>
  <c r="K810" i="3"/>
  <c r="E810" i="3"/>
  <c r="B810" i="3"/>
  <c r="U809" i="3"/>
  <c r="K809" i="3"/>
  <c r="E809" i="3"/>
  <c r="B809" i="3"/>
  <c r="U808" i="3"/>
  <c r="K808" i="3"/>
  <c r="E808" i="3"/>
  <c r="B808" i="3"/>
  <c r="U807" i="3"/>
  <c r="K807" i="3"/>
  <c r="E807" i="3"/>
  <c r="B807" i="3"/>
  <c r="U806" i="3"/>
  <c r="K806" i="3"/>
  <c r="E806" i="3"/>
  <c r="B806" i="3"/>
  <c r="U805" i="3"/>
  <c r="K805" i="3"/>
  <c r="E805" i="3"/>
  <c r="B805" i="3"/>
  <c r="U804" i="3"/>
  <c r="K804" i="3"/>
  <c r="E804" i="3"/>
  <c r="B804" i="3"/>
  <c r="U803" i="3"/>
  <c r="K803" i="3"/>
  <c r="E803" i="3"/>
  <c r="B803" i="3"/>
  <c r="U802" i="3"/>
  <c r="K802" i="3"/>
  <c r="E802" i="3"/>
  <c r="B802" i="3"/>
  <c r="U801" i="3"/>
  <c r="K801" i="3"/>
  <c r="E801" i="3"/>
  <c r="B801" i="3"/>
  <c r="U800" i="3"/>
  <c r="K800" i="3"/>
  <c r="E800" i="3"/>
  <c r="B800" i="3"/>
  <c r="U799" i="3"/>
  <c r="K799" i="3"/>
  <c r="E799" i="3"/>
  <c r="B799" i="3"/>
  <c r="U798" i="3"/>
  <c r="K798" i="3"/>
  <c r="E798" i="3"/>
  <c r="B798" i="3"/>
  <c r="U797" i="3"/>
  <c r="K797" i="3"/>
  <c r="E797" i="3"/>
  <c r="B797" i="3"/>
  <c r="U796" i="3"/>
  <c r="K796" i="3"/>
  <c r="E796" i="3"/>
  <c r="B796" i="3"/>
  <c r="U795" i="3"/>
  <c r="K795" i="3"/>
  <c r="E795" i="3"/>
  <c r="B795" i="3"/>
  <c r="U794" i="3"/>
  <c r="K794" i="3"/>
  <c r="E794" i="3"/>
  <c r="B794" i="3"/>
  <c r="U793" i="3"/>
  <c r="K793" i="3"/>
  <c r="E793" i="3"/>
  <c r="B793" i="3"/>
  <c r="U792" i="3"/>
  <c r="K792" i="3"/>
  <c r="E792" i="3"/>
  <c r="B792" i="3"/>
  <c r="U791" i="3"/>
  <c r="K791" i="3"/>
  <c r="E791" i="3"/>
  <c r="B791" i="3"/>
  <c r="U790" i="3"/>
  <c r="K790" i="3"/>
  <c r="E790" i="3"/>
  <c r="B790" i="3"/>
  <c r="U789" i="3"/>
  <c r="K789" i="3"/>
  <c r="E789" i="3"/>
  <c r="B789" i="3"/>
  <c r="U788" i="3"/>
  <c r="K788" i="3"/>
  <c r="E788" i="3"/>
  <c r="B788" i="3"/>
  <c r="U787" i="3"/>
  <c r="K787" i="3"/>
  <c r="E787" i="3"/>
  <c r="B787" i="3"/>
  <c r="K786" i="3"/>
  <c r="E786" i="3"/>
  <c r="B786" i="3"/>
  <c r="U785" i="3"/>
  <c r="K785" i="3"/>
  <c r="E785" i="3"/>
  <c r="B785" i="3"/>
  <c r="U784" i="3"/>
  <c r="K784" i="3"/>
  <c r="E784" i="3"/>
  <c r="B784" i="3"/>
  <c r="U783" i="3"/>
  <c r="K783" i="3"/>
  <c r="E783" i="3"/>
  <c r="B783" i="3"/>
  <c r="U782" i="3"/>
  <c r="K782" i="3"/>
  <c r="E782" i="3"/>
  <c r="B782" i="3"/>
  <c r="U781" i="3"/>
  <c r="K781" i="3"/>
  <c r="E781" i="3"/>
  <c r="B781" i="3"/>
  <c r="U780" i="3"/>
  <c r="K780" i="3"/>
  <c r="E780" i="3"/>
  <c r="B780" i="3"/>
  <c r="U779" i="3"/>
  <c r="K779" i="3"/>
  <c r="E779" i="3"/>
  <c r="B779" i="3"/>
  <c r="U778" i="3"/>
  <c r="K778" i="3"/>
  <c r="E778" i="3"/>
  <c r="B778" i="3"/>
  <c r="U777" i="3"/>
  <c r="K777" i="3"/>
  <c r="E777" i="3"/>
  <c r="B777" i="3"/>
  <c r="U776" i="3"/>
  <c r="K776" i="3"/>
  <c r="E776" i="3"/>
  <c r="B776" i="3"/>
  <c r="U775" i="3"/>
  <c r="K775" i="3"/>
  <c r="E775" i="3"/>
  <c r="B775" i="3"/>
  <c r="U774" i="3"/>
  <c r="K774" i="3"/>
  <c r="E774" i="3"/>
  <c r="B774" i="3"/>
  <c r="U773" i="3"/>
  <c r="K773" i="3"/>
  <c r="E773" i="3"/>
  <c r="B773" i="3"/>
  <c r="U772" i="3"/>
  <c r="K772" i="3"/>
  <c r="E772" i="3"/>
  <c r="B772" i="3"/>
  <c r="U771" i="3"/>
  <c r="K771" i="3"/>
  <c r="E771" i="3"/>
  <c r="B771" i="3"/>
  <c r="U770" i="3"/>
  <c r="K770" i="3"/>
  <c r="E770" i="3"/>
  <c r="B770" i="3"/>
  <c r="U769" i="3"/>
  <c r="K769" i="3"/>
  <c r="E769" i="3"/>
  <c r="B769" i="3"/>
  <c r="U768" i="3"/>
  <c r="K768" i="3"/>
  <c r="E768" i="3"/>
  <c r="B768" i="3"/>
  <c r="U767" i="3"/>
  <c r="K767" i="3"/>
  <c r="E767" i="3"/>
  <c r="B767" i="3"/>
  <c r="U766" i="3"/>
  <c r="K766" i="3"/>
  <c r="E766" i="3"/>
  <c r="B766" i="3"/>
  <c r="U765" i="3"/>
  <c r="K765" i="3"/>
  <c r="E765" i="3"/>
  <c r="B765" i="3"/>
  <c r="U764" i="3"/>
  <c r="K764" i="3"/>
  <c r="E764" i="3"/>
  <c r="B764" i="3"/>
  <c r="U763" i="3"/>
  <c r="K763" i="3"/>
  <c r="E763" i="3"/>
  <c r="B763" i="3"/>
  <c r="U762" i="3"/>
  <c r="K762" i="3"/>
  <c r="E762" i="3"/>
  <c r="B762" i="3"/>
  <c r="U761" i="3"/>
  <c r="K761" i="3"/>
  <c r="E761" i="3"/>
  <c r="B761" i="3"/>
  <c r="U760" i="3"/>
  <c r="K760" i="3"/>
  <c r="E760" i="3"/>
  <c r="B760" i="3"/>
  <c r="U759" i="3"/>
  <c r="K759" i="3"/>
  <c r="E759" i="3"/>
  <c r="B759" i="3"/>
  <c r="U758" i="3"/>
  <c r="K758" i="3"/>
  <c r="E758" i="3"/>
  <c r="B758" i="3"/>
  <c r="U757" i="3"/>
  <c r="K757" i="3"/>
  <c r="E757" i="3"/>
  <c r="B757" i="3"/>
  <c r="U756" i="3"/>
  <c r="K756" i="3"/>
  <c r="E756" i="3"/>
  <c r="B756" i="3"/>
  <c r="U755" i="3"/>
  <c r="K755" i="3"/>
  <c r="E755" i="3"/>
  <c r="B755" i="3"/>
  <c r="U754" i="3"/>
  <c r="K754" i="3"/>
  <c r="E754" i="3"/>
  <c r="B754" i="3"/>
  <c r="U753" i="3"/>
  <c r="K753" i="3"/>
  <c r="E753" i="3"/>
  <c r="B753" i="3"/>
  <c r="U752" i="3"/>
  <c r="K752" i="3"/>
  <c r="E752" i="3"/>
  <c r="B752" i="3"/>
  <c r="U751" i="3"/>
  <c r="K751" i="3"/>
  <c r="E751" i="3"/>
  <c r="B751" i="3"/>
  <c r="U750" i="3"/>
  <c r="K750" i="3"/>
  <c r="E750" i="3"/>
  <c r="B750" i="3"/>
  <c r="U749" i="3"/>
  <c r="K749" i="3"/>
  <c r="E749" i="3"/>
  <c r="B749" i="3"/>
  <c r="U748" i="3"/>
  <c r="K748" i="3"/>
  <c r="E748" i="3"/>
  <c r="B748" i="3"/>
  <c r="U747" i="3"/>
  <c r="K747" i="3"/>
  <c r="E747" i="3"/>
  <c r="B747" i="3"/>
  <c r="U746" i="3"/>
  <c r="K746" i="3"/>
  <c r="E746" i="3"/>
  <c r="B746" i="3"/>
  <c r="U745" i="3"/>
  <c r="K745" i="3"/>
  <c r="E745" i="3"/>
  <c r="B745" i="3"/>
  <c r="U744" i="3"/>
  <c r="K744" i="3"/>
  <c r="E744" i="3"/>
  <c r="B744" i="3"/>
  <c r="U743" i="3"/>
  <c r="K743" i="3"/>
  <c r="E743" i="3"/>
  <c r="B743" i="3"/>
  <c r="U742" i="3"/>
  <c r="K742" i="3"/>
  <c r="E742" i="3"/>
  <c r="B742" i="3"/>
  <c r="U741" i="3"/>
  <c r="K741" i="3"/>
  <c r="E741" i="3"/>
  <c r="B741" i="3"/>
  <c r="U740" i="3"/>
  <c r="K740" i="3"/>
  <c r="E740" i="3"/>
  <c r="B740" i="3"/>
  <c r="U739" i="3"/>
  <c r="K739" i="3"/>
  <c r="E739" i="3"/>
  <c r="B739" i="3"/>
  <c r="U738" i="3"/>
  <c r="K738" i="3"/>
  <c r="E738" i="3"/>
  <c r="B738" i="3"/>
  <c r="U737" i="3"/>
  <c r="K737" i="3"/>
  <c r="E737" i="3"/>
  <c r="B737" i="3"/>
  <c r="U736" i="3"/>
  <c r="K736" i="3"/>
  <c r="E736" i="3"/>
  <c r="B736" i="3"/>
  <c r="U735" i="3"/>
  <c r="K735" i="3"/>
  <c r="E735" i="3"/>
  <c r="B735" i="3"/>
  <c r="U734" i="3"/>
  <c r="K734" i="3"/>
  <c r="E734" i="3"/>
  <c r="B734" i="3"/>
  <c r="U733" i="3"/>
  <c r="K733" i="3"/>
  <c r="E733" i="3"/>
  <c r="B733" i="3"/>
  <c r="U732" i="3"/>
  <c r="K732" i="3"/>
  <c r="E732" i="3"/>
  <c r="B732" i="3"/>
  <c r="U731" i="3"/>
  <c r="K731" i="3"/>
  <c r="E731" i="3"/>
  <c r="B731" i="3"/>
  <c r="U730" i="3"/>
  <c r="K730" i="3"/>
  <c r="E730" i="3"/>
  <c r="B730" i="3"/>
  <c r="U729" i="3"/>
  <c r="K729" i="3"/>
  <c r="E729" i="3"/>
  <c r="B729" i="3"/>
  <c r="U728" i="3"/>
  <c r="K728" i="3"/>
  <c r="E728" i="3"/>
  <c r="B728" i="3"/>
  <c r="U727" i="3"/>
  <c r="K727" i="3"/>
  <c r="E727" i="3"/>
  <c r="B727" i="3"/>
  <c r="U726" i="3"/>
  <c r="K726" i="3"/>
  <c r="E726" i="3"/>
  <c r="B726" i="3"/>
  <c r="U725" i="3"/>
  <c r="K725" i="3"/>
  <c r="E725" i="3"/>
  <c r="B725" i="3"/>
  <c r="U724" i="3"/>
  <c r="K724" i="3"/>
  <c r="E724" i="3"/>
  <c r="B724" i="3"/>
  <c r="U723" i="3"/>
  <c r="K723" i="3"/>
  <c r="E723" i="3"/>
  <c r="B723" i="3"/>
  <c r="U722" i="3"/>
  <c r="K722" i="3"/>
  <c r="E722" i="3"/>
  <c r="B722" i="3"/>
  <c r="U721" i="3"/>
  <c r="K721" i="3"/>
  <c r="E721" i="3"/>
  <c r="B721" i="3"/>
  <c r="U720" i="3"/>
  <c r="K720" i="3"/>
  <c r="E720" i="3"/>
  <c r="B720" i="3"/>
  <c r="U719" i="3"/>
  <c r="K719" i="3"/>
  <c r="E719" i="3"/>
  <c r="B719" i="3"/>
  <c r="U718" i="3"/>
  <c r="K718" i="3"/>
  <c r="E718" i="3"/>
  <c r="B718" i="3"/>
  <c r="U717" i="3"/>
  <c r="K717" i="3"/>
  <c r="E717" i="3"/>
  <c r="B717" i="3"/>
  <c r="U716" i="3"/>
  <c r="K716" i="3"/>
  <c r="E716" i="3"/>
  <c r="B716" i="3"/>
  <c r="U715" i="3"/>
  <c r="K715" i="3"/>
  <c r="E715" i="3"/>
  <c r="B715" i="3"/>
  <c r="U714" i="3"/>
  <c r="K714" i="3"/>
  <c r="E714" i="3"/>
  <c r="B714" i="3"/>
  <c r="U713" i="3"/>
  <c r="K713" i="3"/>
  <c r="E713" i="3"/>
  <c r="B713" i="3"/>
  <c r="U712" i="3"/>
  <c r="K712" i="3"/>
  <c r="E712" i="3"/>
  <c r="B712" i="3"/>
  <c r="U711" i="3"/>
  <c r="K711" i="3"/>
  <c r="E711" i="3"/>
  <c r="B711" i="3"/>
  <c r="U710" i="3"/>
  <c r="K710" i="3"/>
  <c r="E710" i="3"/>
  <c r="B710" i="3"/>
  <c r="U709" i="3"/>
  <c r="K709" i="3"/>
  <c r="E709" i="3"/>
  <c r="B709" i="3"/>
  <c r="U708" i="3"/>
  <c r="K708" i="3"/>
  <c r="E708" i="3"/>
  <c r="B708" i="3"/>
  <c r="U707" i="3"/>
  <c r="K707" i="3"/>
  <c r="E707" i="3"/>
  <c r="B707" i="3"/>
  <c r="U706" i="3"/>
  <c r="K706" i="3"/>
  <c r="E706" i="3"/>
  <c r="B706" i="3"/>
  <c r="U705" i="3"/>
  <c r="K705" i="3"/>
  <c r="E705" i="3"/>
  <c r="B705" i="3"/>
  <c r="U704" i="3"/>
  <c r="K704" i="3"/>
  <c r="E704" i="3"/>
  <c r="B704" i="3"/>
  <c r="U703" i="3"/>
  <c r="K703" i="3"/>
  <c r="E703" i="3"/>
  <c r="B703" i="3"/>
  <c r="U702" i="3"/>
  <c r="K702" i="3"/>
  <c r="E702" i="3"/>
  <c r="B702" i="3"/>
  <c r="U701" i="3"/>
  <c r="K701" i="3"/>
  <c r="E701" i="3"/>
  <c r="B701" i="3"/>
  <c r="U700" i="3"/>
  <c r="K700" i="3"/>
  <c r="E700" i="3"/>
  <c r="B700" i="3"/>
  <c r="U699" i="3"/>
  <c r="K699" i="3"/>
  <c r="E699" i="3"/>
  <c r="B699" i="3"/>
  <c r="U698" i="3"/>
  <c r="K698" i="3"/>
  <c r="E698" i="3"/>
  <c r="B698" i="3"/>
  <c r="U697" i="3"/>
  <c r="K697" i="3"/>
  <c r="E697" i="3"/>
  <c r="B697" i="3"/>
  <c r="U696" i="3"/>
  <c r="K696" i="3"/>
  <c r="E696" i="3"/>
  <c r="B696" i="3"/>
  <c r="U695" i="3"/>
  <c r="K695" i="3"/>
  <c r="E695" i="3"/>
  <c r="B695" i="3"/>
  <c r="U694" i="3"/>
  <c r="K694" i="3"/>
  <c r="E694" i="3"/>
  <c r="B694" i="3"/>
  <c r="U693" i="3"/>
  <c r="K693" i="3"/>
  <c r="E693" i="3"/>
  <c r="B693" i="3"/>
  <c r="U692" i="3"/>
  <c r="K692" i="3"/>
  <c r="E692" i="3"/>
  <c r="B692" i="3"/>
  <c r="U691" i="3"/>
  <c r="K691" i="3"/>
  <c r="E691" i="3"/>
  <c r="B691" i="3"/>
  <c r="U690" i="3"/>
  <c r="K690" i="3"/>
  <c r="E690" i="3"/>
  <c r="B690" i="3"/>
  <c r="U689" i="3"/>
  <c r="K689" i="3"/>
  <c r="E689" i="3"/>
  <c r="B689" i="3"/>
  <c r="U688" i="3"/>
  <c r="K688" i="3"/>
  <c r="E688" i="3"/>
  <c r="B688" i="3"/>
  <c r="U687" i="3"/>
  <c r="K687" i="3"/>
  <c r="E687" i="3"/>
  <c r="B687" i="3"/>
  <c r="U686" i="3"/>
  <c r="K686" i="3"/>
  <c r="E686" i="3"/>
  <c r="B686" i="3"/>
  <c r="U685" i="3"/>
  <c r="K685" i="3"/>
  <c r="E685" i="3"/>
  <c r="B685" i="3"/>
  <c r="U684" i="3"/>
  <c r="K684" i="3"/>
  <c r="E684" i="3"/>
  <c r="B684" i="3"/>
  <c r="U683" i="3"/>
  <c r="K683" i="3"/>
  <c r="E683" i="3"/>
  <c r="B683" i="3"/>
  <c r="U682" i="3"/>
  <c r="K682" i="3"/>
  <c r="E682" i="3"/>
  <c r="B682" i="3"/>
  <c r="U681" i="3"/>
  <c r="K681" i="3"/>
  <c r="E681" i="3"/>
  <c r="B681" i="3"/>
  <c r="U680" i="3"/>
  <c r="K680" i="3"/>
  <c r="E680" i="3"/>
  <c r="B680" i="3"/>
  <c r="U679" i="3"/>
  <c r="K679" i="3"/>
  <c r="E679" i="3"/>
  <c r="B679" i="3"/>
  <c r="U678" i="3"/>
  <c r="K678" i="3"/>
  <c r="E678" i="3"/>
  <c r="B678" i="3"/>
  <c r="U677" i="3"/>
  <c r="K677" i="3"/>
  <c r="E677" i="3"/>
  <c r="B677" i="3"/>
  <c r="U676" i="3"/>
  <c r="K676" i="3"/>
  <c r="E676" i="3"/>
  <c r="B676" i="3"/>
  <c r="U675" i="3"/>
  <c r="K675" i="3"/>
  <c r="E675" i="3"/>
  <c r="B675" i="3"/>
  <c r="U674" i="3"/>
  <c r="K674" i="3"/>
  <c r="E674" i="3"/>
  <c r="B674" i="3"/>
  <c r="U673" i="3"/>
  <c r="K673" i="3"/>
  <c r="E673" i="3"/>
  <c r="B673" i="3"/>
  <c r="U672" i="3"/>
  <c r="K672" i="3"/>
  <c r="E672" i="3"/>
  <c r="B672" i="3"/>
  <c r="U671" i="3"/>
  <c r="K671" i="3"/>
  <c r="E671" i="3"/>
  <c r="B671" i="3"/>
  <c r="U670" i="3"/>
  <c r="K670" i="3"/>
  <c r="E670" i="3"/>
  <c r="B670" i="3"/>
  <c r="U669" i="3"/>
  <c r="K669" i="3"/>
  <c r="E669" i="3"/>
  <c r="B669" i="3"/>
  <c r="U668" i="3"/>
  <c r="K668" i="3"/>
  <c r="E668" i="3"/>
  <c r="B668" i="3"/>
  <c r="U667" i="3"/>
  <c r="K667" i="3"/>
  <c r="E667" i="3"/>
  <c r="B667" i="3"/>
  <c r="U666" i="3"/>
  <c r="K666" i="3"/>
  <c r="E666" i="3"/>
  <c r="B666" i="3"/>
  <c r="U665" i="3"/>
  <c r="K665" i="3"/>
  <c r="E665" i="3"/>
  <c r="B665" i="3"/>
  <c r="U664" i="3"/>
  <c r="K664" i="3"/>
  <c r="E664" i="3"/>
  <c r="B664" i="3"/>
  <c r="U663" i="3"/>
  <c r="K663" i="3"/>
  <c r="E663" i="3"/>
  <c r="B663" i="3"/>
  <c r="U662" i="3"/>
  <c r="K662" i="3"/>
  <c r="E662" i="3"/>
  <c r="B662" i="3"/>
  <c r="U661" i="3"/>
  <c r="K661" i="3"/>
  <c r="E661" i="3"/>
  <c r="B661" i="3"/>
  <c r="K660" i="3"/>
  <c r="E660" i="3"/>
  <c r="B660" i="3"/>
  <c r="U659" i="3"/>
  <c r="K659" i="3"/>
  <c r="E659" i="3"/>
  <c r="B659" i="3"/>
  <c r="U658" i="3"/>
  <c r="K658" i="3"/>
  <c r="E658" i="3"/>
  <c r="B658" i="3"/>
  <c r="U657" i="3"/>
  <c r="K657" i="3"/>
  <c r="E657" i="3"/>
  <c r="B657" i="3"/>
  <c r="U656" i="3"/>
  <c r="K656" i="3"/>
  <c r="E656" i="3"/>
  <c r="B656" i="3"/>
  <c r="U655" i="3"/>
  <c r="K655" i="3"/>
  <c r="E655" i="3"/>
  <c r="B655" i="3"/>
  <c r="U654" i="3"/>
  <c r="K654" i="3"/>
  <c r="E654" i="3"/>
  <c r="B654" i="3"/>
  <c r="U653" i="3"/>
  <c r="K653" i="3"/>
  <c r="E653" i="3"/>
  <c r="B653" i="3"/>
  <c r="U652" i="3"/>
  <c r="K652" i="3"/>
  <c r="E652" i="3"/>
  <c r="B652" i="3"/>
  <c r="U651" i="3"/>
  <c r="K651" i="3"/>
  <c r="E651" i="3"/>
  <c r="B651" i="3"/>
  <c r="U650" i="3"/>
  <c r="K650" i="3"/>
  <c r="E650" i="3"/>
  <c r="B650" i="3"/>
  <c r="U649" i="3"/>
  <c r="K649" i="3"/>
  <c r="E649" i="3"/>
  <c r="B649" i="3"/>
  <c r="U648" i="3"/>
  <c r="K648" i="3"/>
  <c r="E648" i="3"/>
  <c r="B648" i="3"/>
  <c r="K647" i="3"/>
  <c r="E647" i="3"/>
  <c r="B647" i="3"/>
  <c r="U646" i="3"/>
  <c r="K646" i="3"/>
  <c r="E646" i="3"/>
  <c r="B646" i="3"/>
  <c r="U645" i="3"/>
  <c r="K645" i="3"/>
  <c r="E645" i="3"/>
  <c r="B645" i="3"/>
  <c r="U644" i="3"/>
  <c r="K644" i="3"/>
  <c r="E644" i="3"/>
  <c r="B644" i="3"/>
  <c r="U643" i="3"/>
  <c r="K643" i="3"/>
  <c r="E643" i="3"/>
  <c r="B643" i="3"/>
  <c r="U642" i="3"/>
  <c r="K642" i="3"/>
  <c r="E642" i="3"/>
  <c r="B642" i="3"/>
  <c r="U641" i="3"/>
  <c r="K641" i="3"/>
  <c r="E641" i="3"/>
  <c r="B641" i="3"/>
  <c r="U640" i="3"/>
  <c r="K640" i="3"/>
  <c r="E640" i="3"/>
  <c r="B640" i="3"/>
  <c r="U639" i="3"/>
  <c r="K639" i="3"/>
  <c r="E639" i="3"/>
  <c r="B639" i="3"/>
  <c r="U638" i="3"/>
  <c r="K638" i="3"/>
  <c r="E638" i="3"/>
  <c r="B638" i="3"/>
  <c r="U637" i="3"/>
  <c r="K637" i="3"/>
  <c r="E637" i="3"/>
  <c r="B637" i="3"/>
  <c r="U636" i="3"/>
  <c r="K636" i="3"/>
  <c r="E636" i="3"/>
  <c r="B636" i="3"/>
  <c r="U635" i="3"/>
  <c r="K635" i="3"/>
  <c r="E635" i="3"/>
  <c r="B635" i="3"/>
  <c r="U634" i="3"/>
  <c r="K634" i="3"/>
  <c r="E634" i="3"/>
  <c r="B634" i="3"/>
  <c r="U633" i="3"/>
  <c r="K633" i="3"/>
  <c r="E633" i="3"/>
  <c r="B633" i="3"/>
  <c r="U632" i="3"/>
  <c r="K632" i="3"/>
  <c r="E632" i="3"/>
  <c r="B632" i="3"/>
  <c r="U631" i="3"/>
  <c r="K631" i="3"/>
  <c r="E631" i="3"/>
  <c r="B631" i="3"/>
  <c r="U630" i="3"/>
  <c r="K630" i="3"/>
  <c r="E630" i="3"/>
  <c r="B630" i="3"/>
  <c r="U629" i="3"/>
  <c r="K629" i="3"/>
  <c r="E629" i="3"/>
  <c r="B629" i="3"/>
  <c r="U628" i="3"/>
  <c r="K628" i="3"/>
  <c r="E628" i="3"/>
  <c r="B628" i="3"/>
  <c r="U627" i="3"/>
  <c r="K627" i="3"/>
  <c r="E627" i="3"/>
  <c r="B627" i="3"/>
  <c r="K626" i="3"/>
  <c r="E626" i="3"/>
  <c r="B626" i="3"/>
  <c r="U625" i="3"/>
  <c r="K625" i="3"/>
  <c r="E625" i="3"/>
  <c r="B625" i="3"/>
  <c r="U624" i="3"/>
  <c r="K624" i="3"/>
  <c r="E624" i="3"/>
  <c r="B624" i="3"/>
  <c r="U623" i="3"/>
  <c r="K623" i="3"/>
  <c r="E623" i="3"/>
  <c r="B623" i="3"/>
  <c r="U622" i="3"/>
  <c r="K622" i="3"/>
  <c r="E622" i="3"/>
  <c r="B622" i="3"/>
  <c r="U621" i="3"/>
  <c r="K621" i="3"/>
  <c r="E621" i="3"/>
  <c r="B621" i="3"/>
  <c r="U620" i="3"/>
  <c r="K620" i="3"/>
  <c r="E620" i="3"/>
  <c r="B620" i="3"/>
  <c r="U619" i="3"/>
  <c r="K619" i="3"/>
  <c r="E619" i="3"/>
  <c r="B619" i="3"/>
  <c r="U618" i="3"/>
  <c r="K618" i="3"/>
  <c r="E618" i="3"/>
  <c r="B618" i="3"/>
  <c r="U617" i="3"/>
  <c r="K617" i="3"/>
  <c r="E617" i="3"/>
  <c r="B617" i="3"/>
  <c r="U616" i="3"/>
  <c r="K616" i="3"/>
  <c r="E616" i="3"/>
  <c r="B616" i="3"/>
  <c r="U615" i="3"/>
  <c r="K615" i="3"/>
  <c r="E615" i="3"/>
  <c r="B615" i="3"/>
  <c r="U614" i="3"/>
  <c r="K614" i="3"/>
  <c r="E614" i="3"/>
  <c r="B614" i="3"/>
  <c r="U613" i="3"/>
  <c r="K613" i="3"/>
  <c r="E613" i="3"/>
  <c r="B613" i="3"/>
  <c r="U612" i="3"/>
  <c r="K612" i="3"/>
  <c r="E612" i="3"/>
  <c r="B612" i="3"/>
  <c r="U611" i="3"/>
  <c r="K611" i="3"/>
  <c r="E611" i="3"/>
  <c r="B611" i="3"/>
  <c r="U610" i="3"/>
  <c r="K610" i="3"/>
  <c r="E610" i="3"/>
  <c r="B610" i="3"/>
  <c r="U609" i="3"/>
  <c r="K609" i="3"/>
  <c r="E609" i="3"/>
  <c r="B609" i="3"/>
  <c r="U608" i="3"/>
  <c r="K608" i="3"/>
  <c r="E608" i="3"/>
  <c r="B608" i="3"/>
  <c r="U607" i="3"/>
  <c r="K607" i="3"/>
  <c r="E607" i="3"/>
  <c r="B607" i="3"/>
  <c r="U606" i="3"/>
  <c r="K606" i="3"/>
  <c r="E606" i="3"/>
  <c r="B606" i="3"/>
  <c r="U605" i="3"/>
  <c r="K605" i="3"/>
  <c r="E605" i="3"/>
  <c r="B605" i="3"/>
  <c r="U604" i="3"/>
  <c r="K604" i="3"/>
  <c r="E604" i="3"/>
  <c r="B604" i="3"/>
  <c r="U603" i="3"/>
  <c r="K603" i="3"/>
  <c r="E603" i="3"/>
  <c r="B603" i="3"/>
  <c r="U602" i="3"/>
  <c r="K602" i="3"/>
  <c r="E602" i="3"/>
  <c r="B602" i="3"/>
  <c r="U601" i="3"/>
  <c r="K601" i="3"/>
  <c r="E601" i="3"/>
  <c r="B601" i="3"/>
  <c r="U600" i="3"/>
  <c r="K600" i="3"/>
  <c r="E600" i="3"/>
  <c r="B600" i="3"/>
  <c r="U599" i="3"/>
  <c r="K599" i="3"/>
  <c r="E599" i="3"/>
  <c r="B599" i="3"/>
  <c r="U598" i="3"/>
  <c r="K598" i="3"/>
  <c r="E598" i="3"/>
  <c r="B598" i="3"/>
  <c r="U597" i="3"/>
  <c r="K597" i="3"/>
  <c r="E597" i="3"/>
  <c r="B597" i="3"/>
  <c r="U596" i="3"/>
  <c r="K596" i="3"/>
  <c r="E596" i="3"/>
  <c r="B596" i="3"/>
  <c r="U595" i="3"/>
  <c r="K595" i="3"/>
  <c r="E595" i="3"/>
  <c r="B595" i="3"/>
  <c r="U594" i="3"/>
  <c r="K594" i="3"/>
  <c r="E594" i="3"/>
  <c r="B594" i="3"/>
  <c r="U593" i="3"/>
  <c r="K593" i="3"/>
  <c r="E593" i="3"/>
  <c r="B593" i="3"/>
  <c r="U592" i="3"/>
  <c r="K592" i="3"/>
  <c r="E592" i="3"/>
  <c r="B592" i="3"/>
  <c r="U591" i="3"/>
  <c r="K591" i="3"/>
  <c r="E591" i="3"/>
  <c r="B591" i="3"/>
  <c r="U590" i="3"/>
  <c r="K590" i="3"/>
  <c r="E590" i="3"/>
  <c r="B590" i="3"/>
  <c r="U589" i="3"/>
  <c r="K589" i="3"/>
  <c r="E589" i="3"/>
  <c r="B589" i="3"/>
  <c r="U588" i="3"/>
  <c r="K588" i="3"/>
  <c r="E588" i="3"/>
  <c r="B588" i="3"/>
  <c r="U587" i="3"/>
  <c r="K587" i="3"/>
  <c r="E587" i="3"/>
  <c r="B587" i="3"/>
  <c r="U586" i="3"/>
  <c r="K586" i="3"/>
  <c r="E586" i="3"/>
  <c r="B586" i="3"/>
  <c r="U585" i="3"/>
  <c r="K585" i="3"/>
  <c r="E585" i="3"/>
  <c r="B585" i="3"/>
  <c r="U584" i="3"/>
  <c r="K584" i="3"/>
  <c r="E584" i="3"/>
  <c r="B584" i="3"/>
  <c r="U583" i="3"/>
  <c r="K583" i="3"/>
  <c r="E583" i="3"/>
  <c r="B583" i="3"/>
  <c r="U582" i="3"/>
  <c r="K582" i="3"/>
  <c r="E582" i="3"/>
  <c r="B582" i="3"/>
  <c r="U581" i="3"/>
  <c r="K581" i="3"/>
  <c r="E581" i="3"/>
  <c r="B581" i="3"/>
  <c r="U580" i="3"/>
  <c r="K580" i="3"/>
  <c r="E580" i="3"/>
  <c r="B580" i="3"/>
  <c r="U579" i="3"/>
  <c r="K579" i="3"/>
  <c r="E579" i="3"/>
  <c r="B579" i="3"/>
  <c r="U578" i="3"/>
  <c r="K578" i="3"/>
  <c r="E578" i="3"/>
  <c r="B578" i="3"/>
  <c r="U577" i="3"/>
  <c r="K577" i="3"/>
  <c r="E577" i="3"/>
  <c r="B577" i="3"/>
  <c r="U576" i="3"/>
  <c r="K576" i="3"/>
  <c r="E576" i="3"/>
  <c r="B576" i="3"/>
  <c r="U575" i="3"/>
  <c r="K575" i="3"/>
  <c r="E575" i="3"/>
  <c r="B575" i="3"/>
  <c r="U574" i="3"/>
  <c r="K574" i="3"/>
  <c r="E574" i="3"/>
  <c r="B574" i="3"/>
  <c r="U573" i="3"/>
  <c r="K573" i="3"/>
  <c r="E573" i="3"/>
  <c r="B573" i="3"/>
  <c r="U572" i="3"/>
  <c r="K572" i="3"/>
  <c r="E572" i="3"/>
  <c r="B572" i="3"/>
  <c r="U571" i="3"/>
  <c r="K571" i="3"/>
  <c r="E571" i="3"/>
  <c r="B571" i="3"/>
  <c r="U570" i="3"/>
  <c r="K570" i="3"/>
  <c r="E570" i="3"/>
  <c r="B570" i="3"/>
  <c r="U569" i="3"/>
  <c r="K569" i="3"/>
  <c r="E569" i="3"/>
  <c r="B569" i="3"/>
  <c r="U568" i="3"/>
  <c r="K568" i="3"/>
  <c r="E568" i="3"/>
  <c r="B568" i="3"/>
  <c r="U567" i="3"/>
  <c r="K567" i="3"/>
  <c r="E567" i="3"/>
  <c r="B567" i="3"/>
  <c r="U566" i="3"/>
  <c r="K566" i="3"/>
  <c r="E566" i="3"/>
  <c r="B566" i="3"/>
  <c r="U565" i="3"/>
  <c r="K565" i="3"/>
  <c r="E565" i="3"/>
  <c r="B565" i="3"/>
  <c r="U564" i="3"/>
  <c r="K564" i="3"/>
  <c r="E564" i="3"/>
  <c r="B564" i="3"/>
  <c r="U563" i="3"/>
  <c r="K563" i="3"/>
  <c r="E563" i="3"/>
  <c r="B563" i="3"/>
  <c r="U562" i="3"/>
  <c r="K562" i="3"/>
  <c r="E562" i="3"/>
  <c r="B562" i="3"/>
  <c r="U561" i="3"/>
  <c r="K561" i="3"/>
  <c r="E561" i="3"/>
  <c r="B561" i="3"/>
  <c r="K560" i="3"/>
  <c r="E560" i="3"/>
  <c r="B560" i="3"/>
  <c r="U559" i="3"/>
  <c r="K559" i="3"/>
  <c r="E559" i="3"/>
  <c r="B559" i="3"/>
  <c r="U558" i="3"/>
  <c r="K558" i="3"/>
  <c r="E558" i="3"/>
  <c r="B558" i="3"/>
  <c r="U557" i="3"/>
  <c r="K557" i="3"/>
  <c r="E557" i="3"/>
  <c r="B557" i="3"/>
  <c r="U556" i="3"/>
  <c r="K556" i="3"/>
  <c r="E556" i="3"/>
  <c r="B556" i="3"/>
  <c r="U555" i="3"/>
  <c r="K555" i="3"/>
  <c r="E555" i="3"/>
  <c r="B555" i="3"/>
  <c r="U554" i="3"/>
  <c r="K554" i="3"/>
  <c r="E554" i="3"/>
  <c r="B554" i="3"/>
  <c r="U553" i="3"/>
  <c r="K553" i="3"/>
  <c r="E553" i="3"/>
  <c r="B553" i="3"/>
  <c r="U552" i="3"/>
  <c r="K552" i="3"/>
  <c r="E552" i="3"/>
  <c r="B552" i="3"/>
  <c r="U551" i="3"/>
  <c r="K551" i="3"/>
  <c r="E551" i="3"/>
  <c r="B551" i="3"/>
  <c r="U550" i="3"/>
  <c r="K550" i="3"/>
  <c r="E550" i="3"/>
  <c r="B550" i="3"/>
  <c r="U549" i="3"/>
  <c r="K549" i="3"/>
  <c r="E549" i="3"/>
  <c r="B549" i="3"/>
  <c r="U548" i="3"/>
  <c r="K548" i="3"/>
  <c r="E548" i="3"/>
  <c r="B548" i="3"/>
  <c r="U547" i="3"/>
  <c r="K547" i="3"/>
  <c r="E547" i="3"/>
  <c r="B547" i="3"/>
  <c r="U546" i="3"/>
  <c r="K546" i="3"/>
  <c r="E546" i="3"/>
  <c r="B546" i="3"/>
  <c r="U545" i="3"/>
  <c r="K545" i="3"/>
  <c r="E545" i="3"/>
  <c r="B545" i="3"/>
  <c r="U544" i="3"/>
  <c r="K544" i="3"/>
  <c r="E544" i="3"/>
  <c r="B544" i="3"/>
  <c r="U543" i="3"/>
  <c r="K543" i="3"/>
  <c r="E543" i="3"/>
  <c r="B543" i="3"/>
  <c r="U542" i="3"/>
  <c r="K542" i="3"/>
  <c r="E542" i="3"/>
  <c r="B542" i="3"/>
  <c r="U541" i="3"/>
  <c r="K541" i="3"/>
  <c r="E541" i="3"/>
  <c r="B541" i="3"/>
  <c r="U540" i="3"/>
  <c r="K540" i="3"/>
  <c r="E540" i="3"/>
  <c r="B540" i="3"/>
  <c r="U539" i="3"/>
  <c r="K539" i="3"/>
  <c r="E539" i="3"/>
  <c r="B539" i="3"/>
  <c r="U538" i="3"/>
  <c r="K538" i="3"/>
  <c r="E538" i="3"/>
  <c r="B538" i="3"/>
  <c r="U537" i="3"/>
  <c r="K537" i="3"/>
  <c r="E537" i="3"/>
  <c r="B537" i="3"/>
  <c r="U536" i="3"/>
  <c r="K536" i="3"/>
  <c r="E536" i="3"/>
  <c r="B536" i="3"/>
  <c r="U535" i="3"/>
  <c r="K535" i="3"/>
  <c r="E535" i="3"/>
  <c r="B535" i="3"/>
  <c r="U534" i="3"/>
  <c r="K534" i="3"/>
  <c r="E534" i="3"/>
  <c r="B534" i="3"/>
  <c r="U533" i="3"/>
  <c r="K533" i="3"/>
  <c r="E533" i="3"/>
  <c r="B533" i="3"/>
  <c r="U532" i="3"/>
  <c r="K532" i="3"/>
  <c r="E532" i="3"/>
  <c r="B532" i="3"/>
  <c r="U531" i="3"/>
  <c r="K531" i="3"/>
  <c r="E531" i="3"/>
  <c r="B531" i="3"/>
  <c r="U530" i="3"/>
  <c r="K530" i="3"/>
  <c r="E530" i="3"/>
  <c r="B530" i="3"/>
  <c r="U529" i="3"/>
  <c r="K529" i="3"/>
  <c r="E529" i="3"/>
  <c r="B529" i="3"/>
  <c r="U528" i="3"/>
  <c r="K528" i="3"/>
  <c r="E528" i="3"/>
  <c r="B528" i="3"/>
  <c r="U527" i="3"/>
  <c r="K527" i="3"/>
  <c r="E527" i="3"/>
  <c r="B527" i="3"/>
  <c r="U526" i="3"/>
  <c r="K526" i="3"/>
  <c r="E526" i="3"/>
  <c r="B526" i="3"/>
  <c r="U525" i="3"/>
  <c r="K525" i="3"/>
  <c r="E525" i="3"/>
  <c r="B525" i="3"/>
  <c r="U524" i="3"/>
  <c r="K524" i="3"/>
  <c r="E524" i="3"/>
  <c r="B524" i="3"/>
  <c r="U523" i="3"/>
  <c r="K523" i="3"/>
  <c r="E523" i="3"/>
  <c r="B523" i="3"/>
  <c r="U522" i="3"/>
  <c r="K522" i="3"/>
  <c r="E522" i="3"/>
  <c r="B522" i="3"/>
  <c r="U521" i="3"/>
  <c r="K521" i="3"/>
  <c r="E521" i="3"/>
  <c r="B521" i="3"/>
  <c r="U520" i="3"/>
  <c r="K520" i="3"/>
  <c r="E520" i="3"/>
  <c r="B520" i="3"/>
  <c r="U519" i="3"/>
  <c r="K519" i="3"/>
  <c r="E519" i="3"/>
  <c r="B519" i="3"/>
  <c r="U518" i="3"/>
  <c r="K518" i="3"/>
  <c r="E518" i="3"/>
  <c r="B518" i="3"/>
  <c r="U517" i="3"/>
  <c r="K517" i="3"/>
  <c r="E517" i="3"/>
  <c r="B517" i="3"/>
  <c r="U516" i="3"/>
  <c r="K516" i="3"/>
  <c r="E516" i="3"/>
  <c r="B516" i="3"/>
  <c r="U515" i="3"/>
  <c r="K515" i="3"/>
  <c r="E515" i="3"/>
  <c r="B515" i="3"/>
  <c r="U514" i="3"/>
  <c r="K514" i="3"/>
  <c r="E514" i="3"/>
  <c r="B514" i="3"/>
  <c r="U513" i="3"/>
  <c r="K513" i="3"/>
  <c r="E513" i="3"/>
  <c r="B513" i="3"/>
  <c r="U512" i="3"/>
  <c r="K512" i="3"/>
  <c r="E512" i="3"/>
  <c r="B512" i="3"/>
  <c r="U511" i="3"/>
  <c r="K511" i="3"/>
  <c r="E511" i="3"/>
  <c r="B511" i="3"/>
  <c r="U510" i="3"/>
  <c r="K510" i="3"/>
  <c r="E510" i="3"/>
  <c r="B510" i="3"/>
  <c r="U509" i="3"/>
  <c r="K509" i="3"/>
  <c r="E509" i="3"/>
  <c r="B509" i="3"/>
  <c r="U508" i="3"/>
  <c r="K508" i="3"/>
  <c r="E508" i="3"/>
  <c r="B508" i="3"/>
  <c r="U507" i="3"/>
  <c r="K507" i="3"/>
  <c r="E507" i="3"/>
  <c r="B507" i="3"/>
  <c r="U506" i="3"/>
  <c r="K506" i="3"/>
  <c r="E506" i="3"/>
  <c r="B506" i="3"/>
  <c r="U505" i="3"/>
  <c r="K505" i="3"/>
  <c r="E505" i="3"/>
  <c r="B505" i="3"/>
  <c r="U504" i="3"/>
  <c r="K504" i="3"/>
  <c r="E504" i="3"/>
  <c r="B504" i="3"/>
  <c r="U503" i="3"/>
  <c r="K503" i="3"/>
  <c r="E503" i="3"/>
  <c r="B503" i="3"/>
  <c r="U502" i="3"/>
  <c r="K502" i="3"/>
  <c r="E502" i="3"/>
  <c r="B502" i="3"/>
  <c r="U501" i="3"/>
  <c r="K501" i="3"/>
  <c r="E501" i="3"/>
  <c r="B501" i="3"/>
  <c r="U500" i="3"/>
  <c r="K500" i="3"/>
  <c r="E500" i="3"/>
  <c r="B500" i="3"/>
  <c r="U499" i="3"/>
  <c r="K499" i="3"/>
  <c r="E499" i="3"/>
  <c r="B499" i="3"/>
  <c r="U498" i="3"/>
  <c r="K498" i="3"/>
  <c r="E498" i="3"/>
  <c r="B498" i="3"/>
  <c r="U497" i="3"/>
  <c r="K497" i="3"/>
  <c r="E497" i="3"/>
  <c r="B497" i="3"/>
  <c r="U496" i="3"/>
  <c r="K496" i="3"/>
  <c r="E496" i="3"/>
  <c r="B496" i="3"/>
  <c r="U495" i="3"/>
  <c r="K495" i="3"/>
  <c r="E495" i="3"/>
  <c r="B495" i="3"/>
  <c r="U494" i="3"/>
  <c r="K494" i="3"/>
  <c r="E494" i="3"/>
  <c r="B494" i="3"/>
  <c r="U493" i="3"/>
  <c r="K493" i="3"/>
  <c r="E493" i="3"/>
  <c r="B493" i="3"/>
  <c r="U492" i="3"/>
  <c r="K492" i="3"/>
  <c r="E492" i="3"/>
  <c r="B492" i="3"/>
  <c r="U491" i="3"/>
  <c r="K491" i="3"/>
  <c r="E491" i="3"/>
  <c r="B491" i="3"/>
  <c r="K490" i="3"/>
  <c r="E490" i="3"/>
  <c r="B490" i="3"/>
  <c r="U489" i="3"/>
  <c r="K489" i="3"/>
  <c r="E489" i="3"/>
  <c r="B489" i="3"/>
  <c r="U488" i="3"/>
  <c r="K488" i="3"/>
  <c r="E488" i="3"/>
  <c r="B488" i="3"/>
  <c r="U487" i="3"/>
  <c r="K487" i="3"/>
  <c r="E487" i="3"/>
  <c r="B487" i="3"/>
  <c r="U486" i="3"/>
  <c r="K486" i="3"/>
  <c r="E486" i="3"/>
  <c r="B486" i="3"/>
  <c r="U485" i="3"/>
  <c r="K485" i="3"/>
  <c r="E485" i="3"/>
  <c r="B485" i="3"/>
  <c r="U484" i="3"/>
  <c r="K484" i="3"/>
  <c r="E484" i="3"/>
  <c r="B484" i="3"/>
  <c r="U483" i="3"/>
  <c r="K483" i="3"/>
  <c r="E483" i="3"/>
  <c r="B483" i="3"/>
  <c r="U482" i="3"/>
  <c r="K482" i="3"/>
  <c r="E482" i="3"/>
  <c r="B482" i="3"/>
  <c r="U481" i="3"/>
  <c r="K481" i="3"/>
  <c r="E481" i="3"/>
  <c r="B481" i="3"/>
  <c r="U480" i="3"/>
  <c r="K480" i="3"/>
  <c r="E480" i="3"/>
  <c r="B480" i="3"/>
  <c r="U479" i="3"/>
  <c r="K479" i="3"/>
  <c r="E479" i="3"/>
  <c r="B479" i="3"/>
  <c r="K478" i="3"/>
  <c r="E478" i="3"/>
  <c r="B478" i="3"/>
  <c r="U477" i="3"/>
  <c r="K477" i="3"/>
  <c r="E477" i="3"/>
  <c r="B477" i="3"/>
  <c r="U476" i="3"/>
  <c r="K476" i="3"/>
  <c r="E476" i="3"/>
  <c r="B476" i="3"/>
  <c r="U475" i="3"/>
  <c r="K475" i="3"/>
  <c r="E475" i="3"/>
  <c r="B475" i="3"/>
  <c r="U474" i="3"/>
  <c r="K474" i="3"/>
  <c r="E474" i="3"/>
  <c r="B474" i="3"/>
  <c r="U473" i="3"/>
  <c r="K473" i="3"/>
  <c r="E473" i="3"/>
  <c r="B473" i="3"/>
  <c r="U472" i="3"/>
  <c r="K472" i="3"/>
  <c r="E472" i="3"/>
  <c r="B472" i="3"/>
  <c r="U471" i="3"/>
  <c r="K471" i="3"/>
  <c r="E471" i="3"/>
  <c r="B471" i="3"/>
  <c r="U470" i="3"/>
  <c r="K470" i="3"/>
  <c r="E470" i="3"/>
  <c r="B470" i="3"/>
  <c r="U469" i="3"/>
  <c r="K469" i="3"/>
  <c r="E469" i="3"/>
  <c r="B469" i="3"/>
  <c r="U468" i="3"/>
  <c r="K468" i="3"/>
  <c r="E468" i="3"/>
  <c r="B468" i="3"/>
  <c r="U467" i="3"/>
  <c r="K467" i="3"/>
  <c r="E467" i="3"/>
  <c r="B467" i="3"/>
  <c r="U466" i="3"/>
  <c r="K466" i="3"/>
  <c r="E466" i="3"/>
  <c r="B466" i="3"/>
  <c r="U465" i="3"/>
  <c r="K465" i="3"/>
  <c r="E465" i="3"/>
  <c r="B465" i="3"/>
  <c r="U464" i="3"/>
  <c r="K464" i="3"/>
  <c r="E464" i="3"/>
  <c r="B464" i="3"/>
  <c r="U463" i="3"/>
  <c r="K463" i="3"/>
  <c r="E463" i="3"/>
  <c r="B463" i="3"/>
  <c r="U462" i="3"/>
  <c r="K462" i="3"/>
  <c r="E462" i="3"/>
  <c r="B462" i="3"/>
  <c r="U461" i="3"/>
  <c r="K461" i="3"/>
  <c r="E461" i="3"/>
  <c r="B461" i="3"/>
  <c r="U460" i="3"/>
  <c r="K460" i="3"/>
  <c r="E460" i="3"/>
  <c r="B460" i="3"/>
  <c r="U459" i="3"/>
  <c r="K459" i="3"/>
  <c r="E459" i="3"/>
  <c r="B459" i="3"/>
  <c r="U458" i="3"/>
  <c r="K458" i="3"/>
  <c r="E458" i="3"/>
  <c r="B458" i="3"/>
  <c r="U457" i="3"/>
  <c r="K457" i="3"/>
  <c r="E457" i="3"/>
  <c r="B457" i="3"/>
  <c r="U456" i="3"/>
  <c r="K456" i="3"/>
  <c r="E456" i="3"/>
  <c r="B456" i="3"/>
  <c r="U455" i="3"/>
  <c r="K455" i="3"/>
  <c r="E455" i="3"/>
  <c r="B455" i="3"/>
  <c r="U454" i="3"/>
  <c r="K454" i="3"/>
  <c r="E454" i="3"/>
  <c r="B454" i="3"/>
  <c r="U453" i="3"/>
  <c r="K453" i="3"/>
  <c r="E453" i="3"/>
  <c r="B453" i="3"/>
  <c r="U452" i="3"/>
  <c r="K452" i="3"/>
  <c r="E452" i="3"/>
  <c r="B452" i="3"/>
  <c r="U451" i="3"/>
  <c r="K451" i="3"/>
  <c r="E451" i="3"/>
  <c r="B451" i="3"/>
  <c r="U450" i="3"/>
  <c r="K450" i="3"/>
  <c r="E450" i="3"/>
  <c r="B450" i="3"/>
  <c r="U449" i="3"/>
  <c r="K449" i="3"/>
  <c r="E449" i="3"/>
  <c r="B449" i="3"/>
  <c r="U448" i="3"/>
  <c r="K448" i="3"/>
  <c r="E448" i="3"/>
  <c r="B448" i="3"/>
  <c r="U447" i="3"/>
  <c r="K447" i="3"/>
  <c r="E447" i="3"/>
  <c r="B447" i="3"/>
  <c r="U446" i="3"/>
  <c r="K446" i="3"/>
  <c r="E446" i="3"/>
  <c r="B446" i="3"/>
  <c r="U445" i="3"/>
  <c r="K445" i="3"/>
  <c r="E445" i="3"/>
  <c r="B445" i="3"/>
  <c r="U444" i="3"/>
  <c r="K444" i="3"/>
  <c r="E444" i="3"/>
  <c r="B444" i="3"/>
  <c r="U443" i="3"/>
  <c r="K443" i="3"/>
  <c r="E443" i="3"/>
  <c r="B443" i="3"/>
  <c r="U442" i="3"/>
  <c r="K442" i="3"/>
  <c r="E442" i="3"/>
  <c r="B442" i="3"/>
  <c r="U441" i="3"/>
  <c r="K441" i="3"/>
  <c r="E441" i="3"/>
  <c r="B441" i="3"/>
  <c r="U440" i="3"/>
  <c r="K440" i="3"/>
  <c r="E440" i="3"/>
  <c r="B440" i="3"/>
  <c r="U439" i="3"/>
  <c r="K439" i="3"/>
  <c r="E439" i="3"/>
  <c r="B439" i="3"/>
  <c r="U438" i="3"/>
  <c r="K438" i="3"/>
  <c r="E438" i="3"/>
  <c r="B438" i="3"/>
  <c r="U437" i="3"/>
  <c r="K437" i="3"/>
  <c r="E437" i="3"/>
  <c r="B437" i="3"/>
  <c r="U436" i="3"/>
  <c r="K436" i="3"/>
  <c r="E436" i="3"/>
  <c r="B436" i="3"/>
  <c r="U435" i="3"/>
  <c r="K435" i="3"/>
  <c r="E435" i="3"/>
  <c r="B435" i="3"/>
  <c r="U434" i="3"/>
  <c r="K434" i="3"/>
  <c r="E434" i="3"/>
  <c r="B434" i="3"/>
  <c r="U433" i="3"/>
  <c r="K433" i="3"/>
  <c r="E433" i="3"/>
  <c r="B433" i="3"/>
  <c r="U432" i="3"/>
  <c r="K432" i="3"/>
  <c r="E432" i="3"/>
  <c r="B432" i="3"/>
  <c r="U431" i="3"/>
  <c r="K431" i="3"/>
  <c r="E431" i="3"/>
  <c r="B431" i="3"/>
  <c r="U430" i="3"/>
  <c r="K430" i="3"/>
  <c r="E430" i="3"/>
  <c r="B430" i="3"/>
  <c r="U429" i="3"/>
  <c r="K429" i="3"/>
  <c r="E429" i="3"/>
  <c r="B429" i="3"/>
  <c r="U428" i="3"/>
  <c r="K428" i="3"/>
  <c r="E428" i="3"/>
  <c r="B428" i="3"/>
  <c r="U427" i="3"/>
  <c r="K427" i="3"/>
  <c r="E427" i="3"/>
  <c r="B427" i="3"/>
  <c r="U426" i="3"/>
  <c r="K426" i="3"/>
  <c r="E426" i="3"/>
  <c r="B426" i="3"/>
  <c r="U425" i="3"/>
  <c r="K425" i="3"/>
  <c r="E425" i="3"/>
  <c r="B425" i="3"/>
  <c r="U424" i="3"/>
  <c r="K424" i="3"/>
  <c r="E424" i="3"/>
  <c r="B424" i="3"/>
  <c r="U423" i="3"/>
  <c r="K423" i="3"/>
  <c r="E423" i="3"/>
  <c r="B423" i="3"/>
  <c r="U422" i="3"/>
  <c r="K422" i="3"/>
  <c r="E422" i="3"/>
  <c r="B422" i="3"/>
  <c r="U421" i="3"/>
  <c r="K421" i="3"/>
  <c r="E421" i="3"/>
  <c r="B421" i="3"/>
  <c r="U420" i="3"/>
  <c r="K420" i="3"/>
  <c r="E420" i="3"/>
  <c r="B420" i="3"/>
  <c r="U419" i="3"/>
  <c r="K419" i="3"/>
  <c r="E419" i="3"/>
  <c r="B419" i="3"/>
  <c r="U418" i="3"/>
  <c r="K418" i="3"/>
  <c r="E418" i="3"/>
  <c r="B418" i="3"/>
  <c r="U417" i="3"/>
  <c r="K417" i="3"/>
  <c r="E417" i="3"/>
  <c r="B417" i="3"/>
  <c r="U416" i="3"/>
  <c r="K416" i="3"/>
  <c r="E416" i="3"/>
  <c r="B416" i="3"/>
  <c r="K415" i="3"/>
  <c r="E415" i="3"/>
  <c r="B415" i="3"/>
  <c r="U414" i="3"/>
  <c r="K414" i="3"/>
  <c r="E414" i="3"/>
  <c r="B414" i="3"/>
  <c r="U413" i="3"/>
  <c r="K413" i="3"/>
  <c r="E413" i="3"/>
  <c r="B413" i="3"/>
  <c r="U412" i="3"/>
  <c r="K412" i="3"/>
  <c r="E412" i="3"/>
  <c r="B412" i="3"/>
  <c r="U411" i="3"/>
  <c r="K411" i="3"/>
  <c r="E411" i="3"/>
  <c r="B411" i="3"/>
  <c r="U410" i="3"/>
  <c r="K410" i="3"/>
  <c r="E410" i="3"/>
  <c r="B410" i="3"/>
  <c r="K409" i="3"/>
  <c r="E409" i="3"/>
  <c r="B409" i="3"/>
  <c r="U408" i="3"/>
  <c r="K408" i="3"/>
  <c r="E408" i="3"/>
  <c r="B408" i="3"/>
  <c r="U407" i="3"/>
  <c r="K407" i="3"/>
  <c r="E407" i="3"/>
  <c r="B407" i="3"/>
  <c r="U406" i="3"/>
  <c r="K406" i="3"/>
  <c r="E406" i="3"/>
  <c r="B406" i="3"/>
  <c r="U405" i="3"/>
  <c r="K405" i="3"/>
  <c r="E405" i="3"/>
  <c r="B405" i="3"/>
  <c r="U404" i="3"/>
  <c r="K404" i="3"/>
  <c r="E404" i="3"/>
  <c r="B404" i="3"/>
  <c r="U403" i="3"/>
  <c r="K403" i="3"/>
  <c r="E403" i="3"/>
  <c r="B403" i="3"/>
  <c r="U402" i="3"/>
  <c r="K402" i="3"/>
  <c r="E402" i="3"/>
  <c r="B402" i="3"/>
  <c r="U401" i="3"/>
  <c r="K401" i="3"/>
  <c r="E401" i="3"/>
  <c r="B401" i="3"/>
  <c r="U400" i="3"/>
  <c r="K400" i="3"/>
  <c r="E400" i="3"/>
  <c r="B400" i="3"/>
  <c r="U399" i="3"/>
  <c r="K399" i="3"/>
  <c r="E399" i="3"/>
  <c r="B399" i="3"/>
  <c r="U398" i="3"/>
  <c r="K398" i="3"/>
  <c r="E398" i="3"/>
  <c r="B398" i="3"/>
  <c r="U397" i="3"/>
  <c r="K397" i="3"/>
  <c r="E397" i="3"/>
  <c r="B397" i="3"/>
  <c r="U396" i="3"/>
  <c r="K396" i="3"/>
  <c r="E396" i="3"/>
  <c r="B396" i="3"/>
  <c r="U395" i="3"/>
  <c r="K395" i="3"/>
  <c r="E395" i="3"/>
  <c r="B395" i="3"/>
  <c r="U394" i="3"/>
  <c r="K394" i="3"/>
  <c r="E394" i="3"/>
  <c r="B394" i="3"/>
  <c r="U393" i="3"/>
  <c r="K393" i="3"/>
  <c r="E393" i="3"/>
  <c r="B393" i="3"/>
  <c r="U392" i="3"/>
  <c r="K392" i="3"/>
  <c r="E392" i="3"/>
  <c r="B392" i="3"/>
  <c r="U391" i="3"/>
  <c r="K391" i="3"/>
  <c r="E391" i="3"/>
  <c r="B391" i="3"/>
  <c r="U390" i="3"/>
  <c r="K390" i="3"/>
  <c r="E390" i="3"/>
  <c r="B390" i="3"/>
  <c r="U389" i="3"/>
  <c r="K389" i="3"/>
  <c r="E389" i="3"/>
  <c r="B389" i="3"/>
  <c r="U388" i="3"/>
  <c r="K388" i="3"/>
  <c r="E388" i="3"/>
  <c r="B388" i="3"/>
  <c r="U387" i="3"/>
  <c r="K387" i="3"/>
  <c r="E387" i="3"/>
  <c r="B387" i="3"/>
  <c r="U386" i="3"/>
  <c r="K386" i="3"/>
  <c r="E386" i="3"/>
  <c r="B386" i="3"/>
  <c r="U385" i="3"/>
  <c r="K385" i="3"/>
  <c r="E385" i="3"/>
  <c r="B385" i="3"/>
  <c r="U384" i="3"/>
  <c r="K384" i="3"/>
  <c r="E384" i="3"/>
  <c r="B384" i="3"/>
  <c r="U383" i="3"/>
  <c r="K383" i="3"/>
  <c r="E383" i="3"/>
  <c r="B383" i="3"/>
  <c r="U382" i="3"/>
  <c r="K382" i="3"/>
  <c r="E382" i="3"/>
  <c r="B382" i="3"/>
  <c r="U381" i="3"/>
  <c r="K381" i="3"/>
  <c r="E381" i="3"/>
  <c r="B381" i="3"/>
  <c r="U380" i="3"/>
  <c r="K380" i="3"/>
  <c r="E380" i="3"/>
  <c r="B380" i="3"/>
  <c r="U379" i="3"/>
  <c r="K379" i="3"/>
  <c r="E379" i="3"/>
  <c r="B379" i="3"/>
  <c r="U378" i="3"/>
  <c r="K378" i="3"/>
  <c r="E378" i="3"/>
  <c r="B378" i="3"/>
  <c r="U377" i="3"/>
  <c r="K377" i="3"/>
  <c r="E377" i="3"/>
  <c r="B377" i="3"/>
  <c r="U376" i="3"/>
  <c r="K376" i="3"/>
  <c r="E376" i="3"/>
  <c r="B376" i="3"/>
  <c r="U375" i="3"/>
  <c r="K375" i="3"/>
  <c r="E375" i="3"/>
  <c r="B375" i="3"/>
  <c r="U374" i="3"/>
  <c r="K374" i="3"/>
  <c r="E374" i="3"/>
  <c r="B374" i="3"/>
  <c r="U373" i="3"/>
  <c r="K373" i="3"/>
  <c r="E373" i="3"/>
  <c r="B373" i="3"/>
  <c r="U372" i="3"/>
  <c r="K372" i="3"/>
  <c r="E372" i="3"/>
  <c r="B372" i="3"/>
  <c r="K371" i="3"/>
  <c r="E371" i="3"/>
  <c r="B371" i="3"/>
  <c r="U370" i="3"/>
  <c r="K370" i="3"/>
  <c r="E370" i="3"/>
  <c r="B370" i="3"/>
  <c r="U369" i="3"/>
  <c r="K369" i="3"/>
  <c r="E369" i="3"/>
  <c r="B369" i="3"/>
  <c r="U368" i="3"/>
  <c r="K368" i="3"/>
  <c r="E368" i="3"/>
  <c r="B368" i="3"/>
  <c r="U367" i="3"/>
  <c r="K367" i="3"/>
  <c r="E367" i="3"/>
  <c r="B367" i="3"/>
  <c r="U366" i="3"/>
  <c r="K366" i="3"/>
  <c r="E366" i="3"/>
  <c r="B366" i="3"/>
  <c r="U365" i="3"/>
  <c r="K365" i="3"/>
  <c r="E365" i="3"/>
  <c r="B365" i="3"/>
  <c r="U364" i="3"/>
  <c r="K364" i="3"/>
  <c r="E364" i="3"/>
  <c r="B364" i="3"/>
  <c r="U363" i="3"/>
  <c r="K363" i="3"/>
  <c r="E363" i="3"/>
  <c r="B363" i="3"/>
  <c r="U362" i="3"/>
  <c r="K362" i="3"/>
  <c r="E362" i="3"/>
  <c r="B362" i="3"/>
  <c r="K361" i="3"/>
  <c r="E361" i="3"/>
  <c r="B361" i="3"/>
  <c r="U360" i="3"/>
  <c r="K360" i="3"/>
  <c r="E360" i="3"/>
  <c r="B360" i="3"/>
  <c r="U359" i="3"/>
  <c r="K359" i="3"/>
  <c r="E359" i="3"/>
  <c r="B359" i="3"/>
  <c r="U358" i="3"/>
  <c r="K358" i="3"/>
  <c r="E358" i="3"/>
  <c r="B358" i="3"/>
  <c r="U357" i="3"/>
  <c r="K357" i="3"/>
  <c r="E357" i="3"/>
  <c r="B357" i="3"/>
  <c r="U356" i="3"/>
  <c r="K356" i="3"/>
  <c r="E356" i="3"/>
  <c r="B356" i="3"/>
  <c r="U355" i="3"/>
  <c r="K355" i="3"/>
  <c r="E355" i="3"/>
  <c r="B355" i="3"/>
  <c r="U354" i="3"/>
  <c r="K354" i="3"/>
  <c r="E354" i="3"/>
  <c r="B354" i="3"/>
  <c r="U353" i="3"/>
  <c r="K353" i="3"/>
  <c r="E353" i="3"/>
  <c r="B353" i="3"/>
  <c r="U352" i="3"/>
  <c r="K352" i="3"/>
  <c r="E352" i="3"/>
  <c r="B352" i="3"/>
  <c r="U351" i="3"/>
  <c r="K351" i="3"/>
  <c r="E351" i="3"/>
  <c r="B351" i="3"/>
  <c r="U350" i="3"/>
  <c r="K350" i="3"/>
  <c r="E350" i="3"/>
  <c r="B350" i="3"/>
  <c r="U349" i="3"/>
  <c r="K349" i="3"/>
  <c r="E349" i="3"/>
  <c r="B349" i="3"/>
  <c r="U348" i="3"/>
  <c r="K348" i="3"/>
  <c r="E348" i="3"/>
  <c r="B348" i="3"/>
  <c r="U347" i="3"/>
  <c r="K347" i="3"/>
  <c r="E347" i="3"/>
  <c r="B347" i="3"/>
  <c r="U346" i="3"/>
  <c r="K346" i="3"/>
  <c r="E346" i="3"/>
  <c r="B346" i="3"/>
  <c r="U345" i="3"/>
  <c r="K345" i="3"/>
  <c r="E345" i="3"/>
  <c r="B345" i="3"/>
  <c r="U344" i="3"/>
  <c r="K344" i="3"/>
  <c r="E344" i="3"/>
  <c r="B344" i="3"/>
  <c r="U343" i="3"/>
  <c r="K343" i="3"/>
  <c r="E343" i="3"/>
  <c r="B343" i="3"/>
  <c r="U342" i="3"/>
  <c r="K342" i="3"/>
  <c r="E342" i="3"/>
  <c r="B342" i="3"/>
  <c r="U341" i="3"/>
  <c r="K341" i="3"/>
  <c r="E341" i="3"/>
  <c r="B341" i="3"/>
  <c r="U340" i="3"/>
  <c r="K340" i="3"/>
  <c r="E340" i="3"/>
  <c r="B340" i="3"/>
  <c r="U339" i="3"/>
  <c r="K339" i="3"/>
  <c r="E339" i="3"/>
  <c r="B339" i="3"/>
  <c r="U338" i="3"/>
  <c r="K338" i="3"/>
  <c r="E338" i="3"/>
  <c r="B338" i="3"/>
  <c r="U337" i="3"/>
  <c r="K337" i="3"/>
  <c r="E337" i="3"/>
  <c r="B337" i="3"/>
  <c r="U336" i="3"/>
  <c r="K336" i="3"/>
  <c r="E336" i="3"/>
  <c r="B336" i="3"/>
  <c r="U335" i="3"/>
  <c r="K335" i="3"/>
  <c r="E335" i="3"/>
  <c r="B335" i="3"/>
  <c r="U334" i="3"/>
  <c r="K334" i="3"/>
  <c r="E334" i="3"/>
  <c r="B334" i="3"/>
  <c r="U333" i="3"/>
  <c r="K333" i="3"/>
  <c r="E333" i="3"/>
  <c r="B333" i="3"/>
  <c r="U332" i="3"/>
  <c r="K332" i="3"/>
  <c r="E332" i="3"/>
  <c r="B332" i="3"/>
  <c r="U331" i="3"/>
  <c r="K331" i="3"/>
  <c r="E331" i="3"/>
  <c r="B331" i="3"/>
  <c r="U330" i="3"/>
  <c r="K330" i="3"/>
  <c r="E330" i="3"/>
  <c r="B330" i="3"/>
  <c r="U329" i="3"/>
  <c r="K329" i="3"/>
  <c r="E329" i="3"/>
  <c r="B329" i="3"/>
  <c r="U328" i="3"/>
  <c r="K328" i="3"/>
  <c r="E328" i="3"/>
  <c r="B328" i="3"/>
  <c r="U327" i="3"/>
  <c r="K327" i="3"/>
  <c r="E327" i="3"/>
  <c r="B327" i="3"/>
  <c r="U326" i="3"/>
  <c r="K326" i="3"/>
  <c r="E326" i="3"/>
  <c r="B326" i="3"/>
  <c r="U325" i="3"/>
  <c r="K325" i="3"/>
  <c r="E325" i="3"/>
  <c r="B325" i="3"/>
  <c r="U324" i="3"/>
  <c r="K324" i="3"/>
  <c r="E324" i="3"/>
  <c r="B324" i="3"/>
  <c r="U323" i="3"/>
  <c r="K323" i="3"/>
  <c r="E323" i="3"/>
  <c r="B323" i="3"/>
  <c r="U322" i="3"/>
  <c r="K322" i="3"/>
  <c r="E322" i="3"/>
  <c r="B322" i="3"/>
  <c r="U321" i="3"/>
  <c r="K321" i="3"/>
  <c r="E321" i="3"/>
  <c r="B321" i="3"/>
  <c r="U320" i="3"/>
  <c r="K320" i="3"/>
  <c r="E320" i="3"/>
  <c r="B320" i="3"/>
  <c r="U319" i="3"/>
  <c r="K319" i="3"/>
  <c r="E319" i="3"/>
  <c r="B319" i="3"/>
  <c r="K318" i="3"/>
  <c r="H318" i="3"/>
  <c r="E318" i="3"/>
  <c r="B318" i="3"/>
  <c r="U317" i="3"/>
  <c r="K317" i="3"/>
  <c r="E317" i="3"/>
  <c r="B317" i="3"/>
  <c r="U316" i="3"/>
  <c r="K316" i="3"/>
  <c r="E316" i="3"/>
  <c r="B316" i="3"/>
  <c r="K315" i="3"/>
  <c r="E315" i="3"/>
  <c r="B315" i="3"/>
  <c r="U314" i="3"/>
  <c r="K314" i="3"/>
  <c r="H314" i="3"/>
  <c r="E314" i="3"/>
  <c r="B314" i="3"/>
  <c r="U313" i="3"/>
  <c r="K313" i="3"/>
  <c r="E313" i="3"/>
  <c r="B313" i="3"/>
  <c r="U312" i="3"/>
  <c r="K312" i="3"/>
  <c r="E312" i="3"/>
  <c r="B312" i="3"/>
  <c r="U311" i="3"/>
  <c r="K311" i="3"/>
  <c r="E311" i="3"/>
  <c r="B311" i="3"/>
  <c r="U310" i="3"/>
  <c r="K310" i="3"/>
  <c r="E310" i="3"/>
  <c r="B310" i="3"/>
  <c r="U309" i="3"/>
  <c r="K309" i="3"/>
  <c r="E309" i="3"/>
  <c r="B309" i="3"/>
  <c r="U308" i="3"/>
  <c r="K308" i="3"/>
  <c r="E308" i="3"/>
  <c r="B308" i="3"/>
  <c r="K307" i="3"/>
  <c r="E307" i="3"/>
  <c r="B307" i="3"/>
  <c r="U306" i="3"/>
  <c r="K306" i="3"/>
  <c r="E306" i="3"/>
  <c r="B306" i="3"/>
  <c r="U305" i="3"/>
  <c r="K305" i="3"/>
  <c r="E305" i="3"/>
  <c r="B305" i="3"/>
  <c r="U304" i="3"/>
  <c r="K304" i="3"/>
  <c r="E304" i="3"/>
  <c r="B304" i="3"/>
  <c r="U303" i="3"/>
  <c r="K303" i="3"/>
  <c r="E303" i="3"/>
  <c r="B303" i="3"/>
  <c r="U302" i="3"/>
  <c r="K302" i="3"/>
  <c r="E302" i="3"/>
  <c r="B302" i="3"/>
  <c r="U301" i="3"/>
  <c r="K301" i="3"/>
  <c r="E301" i="3"/>
  <c r="B301" i="3"/>
  <c r="U300" i="3"/>
  <c r="K300" i="3"/>
  <c r="E300" i="3"/>
  <c r="B300" i="3"/>
  <c r="U299" i="3"/>
  <c r="K299" i="3"/>
  <c r="E299" i="3"/>
  <c r="B299" i="3"/>
  <c r="U298" i="3"/>
  <c r="K298" i="3"/>
  <c r="E298" i="3"/>
  <c r="B298" i="3"/>
  <c r="U297" i="3"/>
  <c r="K297" i="3"/>
  <c r="E297" i="3"/>
  <c r="B297" i="3"/>
  <c r="U296" i="3"/>
  <c r="K296" i="3"/>
  <c r="E296" i="3"/>
  <c r="B296" i="3"/>
  <c r="U295" i="3"/>
  <c r="K295" i="3"/>
  <c r="E295" i="3"/>
  <c r="B295" i="3"/>
  <c r="U294" i="3"/>
  <c r="K294" i="3"/>
  <c r="E294" i="3"/>
  <c r="B294" i="3"/>
  <c r="U293" i="3"/>
  <c r="K293" i="3"/>
  <c r="E293" i="3"/>
  <c r="B293" i="3"/>
  <c r="U292" i="3"/>
  <c r="K292" i="3"/>
  <c r="E292" i="3"/>
  <c r="B292" i="3"/>
  <c r="K291" i="3"/>
  <c r="E291" i="3"/>
  <c r="B291" i="3"/>
  <c r="U290" i="3"/>
  <c r="K290" i="3"/>
  <c r="E290" i="3"/>
  <c r="B290" i="3"/>
  <c r="K289" i="3"/>
  <c r="E289" i="3"/>
  <c r="B289" i="3"/>
  <c r="U288" i="3"/>
  <c r="K288" i="3"/>
  <c r="E288" i="3"/>
  <c r="B288" i="3"/>
  <c r="U287" i="3"/>
  <c r="K287" i="3"/>
  <c r="E287" i="3"/>
  <c r="B287" i="3"/>
  <c r="U286" i="3"/>
  <c r="K286" i="3"/>
  <c r="E286" i="3"/>
  <c r="B286" i="3"/>
  <c r="U285" i="3"/>
  <c r="K285" i="3"/>
  <c r="E285" i="3"/>
  <c r="B285" i="3"/>
  <c r="U284" i="3"/>
  <c r="K284" i="3"/>
  <c r="E284" i="3"/>
  <c r="B284" i="3"/>
  <c r="U283" i="3"/>
  <c r="K283" i="3"/>
  <c r="E283" i="3"/>
  <c r="B283" i="3"/>
  <c r="U282" i="3"/>
  <c r="K282" i="3"/>
  <c r="E282" i="3"/>
  <c r="B282" i="3"/>
  <c r="U281" i="3"/>
  <c r="K281" i="3"/>
  <c r="E281" i="3"/>
  <c r="B281" i="3"/>
  <c r="U280" i="3"/>
  <c r="K280" i="3"/>
  <c r="E280" i="3"/>
  <c r="B280" i="3"/>
  <c r="U279" i="3"/>
  <c r="K279" i="3"/>
  <c r="E279" i="3"/>
  <c r="B279" i="3"/>
  <c r="U278" i="3"/>
  <c r="K278" i="3"/>
  <c r="E278" i="3"/>
  <c r="B278" i="3"/>
  <c r="U277" i="3"/>
  <c r="K277" i="3"/>
  <c r="E277" i="3"/>
  <c r="B277" i="3"/>
  <c r="U276" i="3"/>
  <c r="K276" i="3"/>
  <c r="E276" i="3"/>
  <c r="B276" i="3"/>
  <c r="U275" i="3"/>
  <c r="K275" i="3"/>
  <c r="E275" i="3"/>
  <c r="B275" i="3"/>
  <c r="U274" i="3"/>
  <c r="K274" i="3"/>
  <c r="E274" i="3"/>
  <c r="B274" i="3"/>
  <c r="U273" i="3"/>
  <c r="K273" i="3"/>
  <c r="E273" i="3"/>
  <c r="B273" i="3"/>
  <c r="U272" i="3"/>
  <c r="K272" i="3"/>
  <c r="E272" i="3"/>
  <c r="B272" i="3"/>
  <c r="U271" i="3"/>
  <c r="K271" i="3"/>
  <c r="E271" i="3"/>
  <c r="B271" i="3"/>
  <c r="U270" i="3"/>
  <c r="K270" i="3"/>
  <c r="E270" i="3"/>
  <c r="B270" i="3"/>
  <c r="U269" i="3"/>
  <c r="K269" i="3"/>
  <c r="E269" i="3"/>
  <c r="B269" i="3"/>
  <c r="U268" i="3"/>
  <c r="K268" i="3"/>
  <c r="E268" i="3"/>
  <c r="B268" i="3"/>
  <c r="U267" i="3"/>
  <c r="K267" i="3"/>
  <c r="E267" i="3"/>
  <c r="B267" i="3"/>
  <c r="U266" i="3"/>
  <c r="K266" i="3"/>
  <c r="E266" i="3"/>
  <c r="B266" i="3"/>
  <c r="U265" i="3"/>
  <c r="K265" i="3"/>
  <c r="E265" i="3"/>
  <c r="B265" i="3"/>
  <c r="U264" i="3"/>
  <c r="K264" i="3"/>
  <c r="E264" i="3"/>
  <c r="B264" i="3"/>
  <c r="K263" i="3"/>
  <c r="E263" i="3"/>
  <c r="B263" i="3"/>
  <c r="U262" i="3"/>
  <c r="K262" i="3"/>
  <c r="E262" i="3"/>
  <c r="B262" i="3"/>
  <c r="U261" i="3"/>
  <c r="K261" i="3"/>
  <c r="E261" i="3"/>
  <c r="B261" i="3"/>
  <c r="U260" i="3"/>
  <c r="K260" i="3"/>
  <c r="E260" i="3"/>
  <c r="B260" i="3"/>
  <c r="U259" i="3"/>
  <c r="K259" i="3"/>
  <c r="E259" i="3"/>
  <c r="B259" i="3"/>
  <c r="U258" i="3"/>
  <c r="K258" i="3"/>
  <c r="E258" i="3"/>
  <c r="B258" i="3"/>
  <c r="U257" i="3"/>
  <c r="K257" i="3"/>
  <c r="E257" i="3"/>
  <c r="B257" i="3"/>
  <c r="U256" i="3"/>
  <c r="K256" i="3"/>
  <c r="E256" i="3"/>
  <c r="B256" i="3"/>
  <c r="U255" i="3"/>
  <c r="K255" i="3"/>
  <c r="E255" i="3"/>
  <c r="B255" i="3"/>
  <c r="U254" i="3"/>
  <c r="K254" i="3"/>
  <c r="E254" i="3"/>
  <c r="B254" i="3"/>
  <c r="U253" i="3"/>
  <c r="K253" i="3"/>
  <c r="E253" i="3"/>
  <c r="B253" i="3"/>
  <c r="U252" i="3"/>
  <c r="K252" i="3"/>
  <c r="E252" i="3"/>
  <c r="B252" i="3"/>
  <c r="U251" i="3"/>
  <c r="K251" i="3"/>
  <c r="E251" i="3"/>
  <c r="B251" i="3"/>
  <c r="U250" i="3"/>
  <c r="K250" i="3"/>
  <c r="E250" i="3"/>
  <c r="B250" i="3"/>
  <c r="U249" i="3"/>
  <c r="K249" i="3"/>
  <c r="E249" i="3"/>
  <c r="B249" i="3"/>
  <c r="U248" i="3"/>
  <c r="K248" i="3"/>
  <c r="E248" i="3"/>
  <c r="B248" i="3"/>
  <c r="U247" i="3"/>
  <c r="K247" i="3"/>
  <c r="E247" i="3"/>
  <c r="B247" i="3"/>
  <c r="U246" i="3"/>
  <c r="K246" i="3"/>
  <c r="E246" i="3"/>
  <c r="B246" i="3"/>
  <c r="U245" i="3"/>
  <c r="K245" i="3"/>
  <c r="E245" i="3"/>
  <c r="B245" i="3"/>
  <c r="U244" i="3"/>
  <c r="K244" i="3"/>
  <c r="E244" i="3"/>
  <c r="B244" i="3"/>
  <c r="U243" i="3"/>
  <c r="K243" i="3"/>
  <c r="E243" i="3"/>
  <c r="B243" i="3"/>
  <c r="U242" i="3"/>
  <c r="K242" i="3"/>
  <c r="E242" i="3"/>
  <c r="B242" i="3"/>
  <c r="U241" i="3"/>
  <c r="K241" i="3"/>
  <c r="E241" i="3"/>
  <c r="B241" i="3"/>
  <c r="U240" i="3"/>
  <c r="K240" i="3"/>
  <c r="E240" i="3"/>
  <c r="B240" i="3"/>
  <c r="U239" i="3"/>
  <c r="K239" i="3"/>
  <c r="E239" i="3"/>
  <c r="B239" i="3"/>
  <c r="U238" i="3"/>
  <c r="K238" i="3"/>
  <c r="E238" i="3"/>
  <c r="B238" i="3"/>
  <c r="U237" i="3"/>
  <c r="K237" i="3"/>
  <c r="E237" i="3"/>
  <c r="B237" i="3"/>
  <c r="U236" i="3"/>
  <c r="K236" i="3"/>
  <c r="E236" i="3"/>
  <c r="B236" i="3"/>
  <c r="U235" i="3"/>
  <c r="K235" i="3"/>
  <c r="E235" i="3"/>
  <c r="B235" i="3"/>
  <c r="U234" i="3"/>
  <c r="K234" i="3"/>
  <c r="E234" i="3"/>
  <c r="B234" i="3"/>
  <c r="U233" i="3"/>
  <c r="K233" i="3"/>
  <c r="E233" i="3"/>
  <c r="B233" i="3"/>
  <c r="U232" i="3"/>
  <c r="K232" i="3"/>
  <c r="E232" i="3"/>
  <c r="B232" i="3"/>
  <c r="U231" i="3"/>
  <c r="K231" i="3"/>
  <c r="E231" i="3"/>
  <c r="B231" i="3"/>
  <c r="U230" i="3"/>
  <c r="K230" i="3"/>
  <c r="E230" i="3"/>
  <c r="B230" i="3"/>
  <c r="U229" i="3"/>
  <c r="K229" i="3"/>
  <c r="E229" i="3"/>
  <c r="B229" i="3"/>
  <c r="U228" i="3"/>
  <c r="K228" i="3"/>
  <c r="E228" i="3"/>
  <c r="B228" i="3"/>
  <c r="U227" i="3"/>
  <c r="K227" i="3"/>
  <c r="E227" i="3"/>
  <c r="B227" i="3"/>
  <c r="U226" i="3"/>
  <c r="K226" i="3"/>
  <c r="E226" i="3"/>
  <c r="B226" i="3"/>
  <c r="U225" i="3"/>
  <c r="K225" i="3"/>
  <c r="E225" i="3"/>
  <c r="B225" i="3"/>
  <c r="U224" i="3"/>
  <c r="K224" i="3"/>
  <c r="E224" i="3"/>
  <c r="B224" i="3"/>
  <c r="U223" i="3"/>
  <c r="K223" i="3"/>
  <c r="E223" i="3"/>
  <c r="B223" i="3"/>
  <c r="U222" i="3"/>
  <c r="K222" i="3"/>
  <c r="E222" i="3"/>
  <c r="B222" i="3"/>
  <c r="U221" i="3"/>
  <c r="K221" i="3"/>
  <c r="E221" i="3"/>
  <c r="B221" i="3"/>
  <c r="U220" i="3"/>
  <c r="K220" i="3"/>
  <c r="E220" i="3"/>
  <c r="B220" i="3"/>
  <c r="U219" i="3"/>
  <c r="K219" i="3"/>
  <c r="E219" i="3"/>
  <c r="B219" i="3"/>
  <c r="U218" i="3"/>
  <c r="K218" i="3"/>
  <c r="E218" i="3"/>
  <c r="B218" i="3"/>
  <c r="U217" i="3"/>
  <c r="K217" i="3"/>
  <c r="E217" i="3"/>
  <c r="B217" i="3"/>
  <c r="U216" i="3"/>
  <c r="K216" i="3"/>
  <c r="E216" i="3"/>
  <c r="B216" i="3"/>
  <c r="U215" i="3"/>
  <c r="K215" i="3"/>
  <c r="E215" i="3"/>
  <c r="B215" i="3"/>
  <c r="U214" i="3"/>
  <c r="K214" i="3"/>
  <c r="E214" i="3"/>
  <c r="B214" i="3"/>
  <c r="U213" i="3"/>
  <c r="K213" i="3"/>
  <c r="E213" i="3"/>
  <c r="B213" i="3"/>
  <c r="U212" i="3"/>
  <c r="K212" i="3"/>
  <c r="E212" i="3"/>
  <c r="B212" i="3"/>
  <c r="U211" i="3"/>
  <c r="K211" i="3"/>
  <c r="E211" i="3"/>
  <c r="B211" i="3"/>
  <c r="U210" i="3"/>
  <c r="K210" i="3"/>
  <c r="E210" i="3"/>
  <c r="B210" i="3"/>
  <c r="U209" i="3"/>
  <c r="K209" i="3"/>
  <c r="E209" i="3"/>
  <c r="B209" i="3"/>
  <c r="U208" i="3"/>
  <c r="K208" i="3"/>
  <c r="E208" i="3"/>
  <c r="B208" i="3"/>
  <c r="U207" i="3"/>
  <c r="K207" i="3"/>
  <c r="E207" i="3"/>
  <c r="B207" i="3"/>
  <c r="U206" i="3"/>
  <c r="K206" i="3"/>
  <c r="E206" i="3"/>
  <c r="B206" i="3"/>
  <c r="U205" i="3"/>
  <c r="K205" i="3"/>
  <c r="E205" i="3"/>
  <c r="B205" i="3"/>
  <c r="U204" i="3"/>
  <c r="K204" i="3"/>
  <c r="E204" i="3"/>
  <c r="B204" i="3"/>
  <c r="U203" i="3"/>
  <c r="K203" i="3"/>
  <c r="E203" i="3"/>
  <c r="B203" i="3"/>
  <c r="U202" i="3"/>
  <c r="K202" i="3"/>
  <c r="E202" i="3"/>
  <c r="B202" i="3"/>
  <c r="U201" i="3"/>
  <c r="K201" i="3"/>
  <c r="E201" i="3"/>
  <c r="B201" i="3"/>
  <c r="U200" i="3"/>
  <c r="K200" i="3"/>
  <c r="E200" i="3"/>
  <c r="B200" i="3"/>
  <c r="U199" i="3"/>
  <c r="K199" i="3"/>
  <c r="E199" i="3"/>
  <c r="B199" i="3"/>
  <c r="U198" i="3"/>
  <c r="K198" i="3"/>
  <c r="E198" i="3"/>
  <c r="B198" i="3"/>
  <c r="U197" i="3"/>
  <c r="K197" i="3"/>
  <c r="E197" i="3"/>
  <c r="B197" i="3"/>
  <c r="U196" i="3"/>
  <c r="K196" i="3"/>
  <c r="E196" i="3"/>
  <c r="B196" i="3"/>
  <c r="U195" i="3"/>
  <c r="K195" i="3"/>
  <c r="E195" i="3"/>
  <c r="B195" i="3"/>
  <c r="U194" i="3"/>
  <c r="K194" i="3"/>
  <c r="E194" i="3"/>
  <c r="B194" i="3"/>
  <c r="K193" i="3"/>
  <c r="E193" i="3"/>
  <c r="B193" i="3"/>
  <c r="U192" i="3"/>
  <c r="K192" i="3"/>
  <c r="E192" i="3"/>
  <c r="B192" i="3"/>
  <c r="U191" i="3"/>
  <c r="K191" i="3"/>
  <c r="E191" i="3"/>
  <c r="B191" i="3"/>
  <c r="U190" i="3"/>
  <c r="K190" i="3"/>
  <c r="E190" i="3"/>
  <c r="B190" i="3"/>
  <c r="U189" i="3"/>
  <c r="K189" i="3"/>
  <c r="E189" i="3"/>
  <c r="B189" i="3"/>
  <c r="U188" i="3"/>
  <c r="K188" i="3"/>
  <c r="E188" i="3"/>
  <c r="B188" i="3"/>
  <c r="U187" i="3"/>
  <c r="K187" i="3"/>
  <c r="E187" i="3"/>
  <c r="B187" i="3"/>
  <c r="U186" i="3"/>
  <c r="K186" i="3"/>
  <c r="E186" i="3"/>
  <c r="B186" i="3"/>
  <c r="U185" i="3"/>
  <c r="K185" i="3"/>
  <c r="E185" i="3"/>
  <c r="B185" i="3"/>
  <c r="U184" i="3"/>
  <c r="K184" i="3"/>
  <c r="E184" i="3"/>
  <c r="B184" i="3"/>
  <c r="U183" i="3"/>
  <c r="K183" i="3"/>
  <c r="E183" i="3"/>
  <c r="B183" i="3"/>
  <c r="U182" i="3"/>
  <c r="K182" i="3"/>
  <c r="E182" i="3"/>
  <c r="B182" i="3"/>
  <c r="U181" i="3"/>
  <c r="K181" i="3"/>
  <c r="E181" i="3"/>
  <c r="B181" i="3"/>
  <c r="U180" i="3"/>
  <c r="K180" i="3"/>
  <c r="E180" i="3"/>
  <c r="B180" i="3"/>
  <c r="U179" i="3"/>
  <c r="K179" i="3"/>
  <c r="E179" i="3"/>
  <c r="B179" i="3"/>
  <c r="U178" i="3"/>
  <c r="K178" i="3"/>
  <c r="E178" i="3"/>
  <c r="B178" i="3"/>
  <c r="U177" i="3"/>
  <c r="K177" i="3"/>
  <c r="E177" i="3"/>
  <c r="B177" i="3"/>
  <c r="U176" i="3"/>
  <c r="K176" i="3"/>
  <c r="E176" i="3"/>
  <c r="B176" i="3"/>
  <c r="U175" i="3"/>
  <c r="K175" i="3"/>
  <c r="E175" i="3"/>
  <c r="B175" i="3"/>
  <c r="U174" i="3"/>
  <c r="K174" i="3"/>
  <c r="E174" i="3"/>
  <c r="B174" i="3"/>
  <c r="U173" i="3"/>
  <c r="K173" i="3"/>
  <c r="E173" i="3"/>
  <c r="B173" i="3"/>
  <c r="U172" i="3"/>
  <c r="K172" i="3"/>
  <c r="E172" i="3"/>
  <c r="B172" i="3"/>
  <c r="U171" i="3"/>
  <c r="K171" i="3"/>
  <c r="E171" i="3"/>
  <c r="B171" i="3"/>
  <c r="U170" i="3"/>
  <c r="K170" i="3"/>
  <c r="E170" i="3"/>
  <c r="B170" i="3"/>
  <c r="U169" i="3"/>
  <c r="K169" i="3"/>
  <c r="E169" i="3"/>
  <c r="B169" i="3"/>
  <c r="U168" i="3"/>
  <c r="K168" i="3"/>
  <c r="E168" i="3"/>
  <c r="B168" i="3"/>
  <c r="U167" i="3"/>
  <c r="K167" i="3"/>
  <c r="E167" i="3"/>
  <c r="B167" i="3"/>
  <c r="U166" i="3"/>
  <c r="K166" i="3"/>
  <c r="E166" i="3"/>
  <c r="B166" i="3"/>
  <c r="U165" i="3"/>
  <c r="K165" i="3"/>
  <c r="E165" i="3"/>
  <c r="B165" i="3"/>
  <c r="U164" i="3"/>
  <c r="K164" i="3"/>
  <c r="E164" i="3"/>
  <c r="B164" i="3"/>
  <c r="U163" i="3"/>
  <c r="K163" i="3"/>
  <c r="E163" i="3"/>
  <c r="B163" i="3"/>
  <c r="U162" i="3"/>
  <c r="K162" i="3"/>
  <c r="E162" i="3"/>
  <c r="B162" i="3"/>
  <c r="U161" i="3"/>
  <c r="K161" i="3"/>
  <c r="E161" i="3"/>
  <c r="B161" i="3"/>
  <c r="U160" i="3"/>
  <c r="K160" i="3"/>
  <c r="E160" i="3"/>
  <c r="B160" i="3"/>
  <c r="U159" i="3"/>
  <c r="K159" i="3"/>
  <c r="E159" i="3"/>
  <c r="B159" i="3"/>
  <c r="U158" i="3"/>
  <c r="K158" i="3"/>
  <c r="E158" i="3"/>
  <c r="B158" i="3"/>
  <c r="U157" i="3"/>
  <c r="K157" i="3"/>
  <c r="E157" i="3"/>
  <c r="B157" i="3"/>
  <c r="U156" i="3"/>
  <c r="K156" i="3"/>
  <c r="E156" i="3"/>
  <c r="B156" i="3"/>
  <c r="U155" i="3"/>
  <c r="K155" i="3"/>
  <c r="E155" i="3"/>
  <c r="B155" i="3"/>
  <c r="K154" i="3"/>
  <c r="E154" i="3"/>
  <c r="B154" i="3"/>
  <c r="U153" i="3"/>
  <c r="K153" i="3"/>
  <c r="E153" i="3"/>
  <c r="B153" i="3"/>
  <c r="U152" i="3"/>
  <c r="K152" i="3"/>
  <c r="E152" i="3"/>
  <c r="B152" i="3"/>
  <c r="U151" i="3"/>
  <c r="K151" i="3"/>
  <c r="E151" i="3"/>
  <c r="B151" i="3"/>
  <c r="U150" i="3"/>
  <c r="K150" i="3"/>
  <c r="E150" i="3"/>
  <c r="B150" i="3"/>
  <c r="U149" i="3"/>
  <c r="K149" i="3"/>
  <c r="E149" i="3"/>
  <c r="B149" i="3"/>
  <c r="U148" i="3"/>
  <c r="K148" i="3"/>
  <c r="E148" i="3"/>
  <c r="B148" i="3"/>
  <c r="U147" i="3"/>
  <c r="K147" i="3"/>
  <c r="E147" i="3"/>
  <c r="B147" i="3"/>
  <c r="U146" i="3"/>
  <c r="K146" i="3"/>
  <c r="E146" i="3"/>
  <c r="B146" i="3"/>
  <c r="U145" i="3"/>
  <c r="K145" i="3"/>
  <c r="E145" i="3"/>
  <c r="B145" i="3"/>
  <c r="U144" i="3"/>
  <c r="K144" i="3"/>
  <c r="E144" i="3"/>
  <c r="B144" i="3"/>
  <c r="U143" i="3"/>
  <c r="K143" i="3"/>
  <c r="E143" i="3"/>
  <c r="B143" i="3"/>
  <c r="U142" i="3"/>
  <c r="K142" i="3"/>
  <c r="E142" i="3"/>
  <c r="B142" i="3"/>
  <c r="U141" i="3"/>
  <c r="K141" i="3"/>
  <c r="E141" i="3"/>
  <c r="B141" i="3"/>
  <c r="U140" i="3"/>
  <c r="K140" i="3"/>
  <c r="E140" i="3"/>
  <c r="B140" i="3"/>
  <c r="U139" i="3"/>
  <c r="K139" i="3"/>
  <c r="E139" i="3"/>
  <c r="B139" i="3"/>
  <c r="U138" i="3"/>
  <c r="K138" i="3"/>
  <c r="E138" i="3"/>
  <c r="B138" i="3"/>
  <c r="U137" i="3"/>
  <c r="K137" i="3"/>
  <c r="E137" i="3"/>
  <c r="B137" i="3"/>
  <c r="U136" i="3"/>
  <c r="K136" i="3"/>
  <c r="E136" i="3"/>
  <c r="B136" i="3"/>
  <c r="U135" i="3"/>
  <c r="K135" i="3"/>
  <c r="E135" i="3"/>
  <c r="B135" i="3"/>
  <c r="U134" i="3"/>
  <c r="K134" i="3"/>
  <c r="E134" i="3"/>
  <c r="B134" i="3"/>
  <c r="U133" i="3"/>
  <c r="K133" i="3"/>
  <c r="E133" i="3"/>
  <c r="B133" i="3"/>
  <c r="U132" i="3"/>
  <c r="K132" i="3"/>
  <c r="E132" i="3"/>
  <c r="B132" i="3"/>
  <c r="U131" i="3"/>
  <c r="K131" i="3"/>
  <c r="E131" i="3"/>
  <c r="B131" i="3"/>
  <c r="U130" i="3"/>
  <c r="K130" i="3"/>
  <c r="E130" i="3"/>
  <c r="B130" i="3"/>
  <c r="U129" i="3"/>
  <c r="K129" i="3"/>
  <c r="E129" i="3"/>
  <c r="B129" i="3"/>
  <c r="U128" i="3"/>
  <c r="K128" i="3"/>
  <c r="E128" i="3"/>
  <c r="B128" i="3"/>
  <c r="U127" i="3"/>
  <c r="K127" i="3"/>
  <c r="E127" i="3"/>
  <c r="B127" i="3"/>
  <c r="U126" i="3"/>
  <c r="K126" i="3"/>
  <c r="E126" i="3"/>
  <c r="B126" i="3"/>
  <c r="U125" i="3"/>
  <c r="K125" i="3"/>
  <c r="E125" i="3"/>
  <c r="B125" i="3"/>
  <c r="U124" i="3"/>
  <c r="K124" i="3"/>
  <c r="E124" i="3"/>
  <c r="B124" i="3"/>
  <c r="U123" i="3"/>
  <c r="K123" i="3"/>
  <c r="E123" i="3"/>
  <c r="B123" i="3"/>
  <c r="U122" i="3"/>
  <c r="K122" i="3"/>
  <c r="E122" i="3"/>
  <c r="B122" i="3"/>
  <c r="U121" i="3"/>
  <c r="K121" i="3"/>
  <c r="E121" i="3"/>
  <c r="B121" i="3"/>
  <c r="U120" i="3"/>
  <c r="K120" i="3"/>
  <c r="E120" i="3"/>
  <c r="B120" i="3"/>
  <c r="U119" i="3"/>
  <c r="K119" i="3"/>
  <c r="E119" i="3"/>
  <c r="B119" i="3"/>
  <c r="U118" i="3"/>
  <c r="K118" i="3"/>
  <c r="E118" i="3"/>
  <c r="B118" i="3"/>
  <c r="U117" i="3"/>
  <c r="K117" i="3"/>
  <c r="E117" i="3"/>
  <c r="B117" i="3"/>
  <c r="U116" i="3"/>
  <c r="K116" i="3"/>
  <c r="E116" i="3"/>
  <c r="B116" i="3"/>
  <c r="K115" i="3"/>
  <c r="E115" i="3"/>
  <c r="B115" i="3"/>
  <c r="U114" i="3"/>
  <c r="K114" i="3"/>
  <c r="E114" i="3"/>
  <c r="B114" i="3"/>
  <c r="U113" i="3"/>
  <c r="K113" i="3"/>
  <c r="E113" i="3"/>
  <c r="B113" i="3"/>
  <c r="U112" i="3"/>
  <c r="K112" i="3"/>
  <c r="E112" i="3"/>
  <c r="B112" i="3"/>
  <c r="U111" i="3"/>
  <c r="K111" i="3"/>
  <c r="E111" i="3"/>
  <c r="B111" i="3"/>
  <c r="U110" i="3"/>
  <c r="K110" i="3"/>
  <c r="E110" i="3"/>
  <c r="B110" i="3"/>
  <c r="U109" i="3"/>
  <c r="K109" i="3"/>
  <c r="E109" i="3"/>
  <c r="B109" i="3"/>
  <c r="U108" i="3"/>
  <c r="K108" i="3"/>
  <c r="E108" i="3"/>
  <c r="B108" i="3"/>
  <c r="U107" i="3"/>
  <c r="K107" i="3"/>
  <c r="E107" i="3"/>
  <c r="B107" i="3"/>
  <c r="U106" i="3"/>
  <c r="K106" i="3"/>
  <c r="E106" i="3"/>
  <c r="B106" i="3"/>
  <c r="U105" i="3"/>
  <c r="K105" i="3"/>
  <c r="E105" i="3"/>
  <c r="B105" i="3"/>
  <c r="U104" i="3"/>
  <c r="K104" i="3"/>
  <c r="E104" i="3"/>
  <c r="B104" i="3"/>
  <c r="U103" i="3"/>
  <c r="K103" i="3"/>
  <c r="E103" i="3"/>
  <c r="B103" i="3"/>
  <c r="U102" i="3"/>
  <c r="K102" i="3"/>
  <c r="E102" i="3"/>
  <c r="B102" i="3"/>
  <c r="U101" i="3"/>
  <c r="K101" i="3"/>
  <c r="E101" i="3"/>
  <c r="B101" i="3"/>
  <c r="U100" i="3"/>
  <c r="K100" i="3"/>
  <c r="E100" i="3"/>
  <c r="B100" i="3"/>
  <c r="U99" i="3"/>
  <c r="K99" i="3"/>
  <c r="E99" i="3"/>
  <c r="B99" i="3"/>
  <c r="U98" i="3"/>
  <c r="K98" i="3"/>
  <c r="E98" i="3"/>
  <c r="B98" i="3"/>
  <c r="U97" i="3"/>
  <c r="K97" i="3"/>
  <c r="E97" i="3"/>
  <c r="B97" i="3"/>
  <c r="U96" i="3"/>
  <c r="K96" i="3"/>
  <c r="E96" i="3"/>
  <c r="B96" i="3"/>
  <c r="U95" i="3"/>
  <c r="K95" i="3"/>
  <c r="E95" i="3"/>
  <c r="B95" i="3"/>
  <c r="U94" i="3"/>
  <c r="K94" i="3"/>
  <c r="E94" i="3"/>
  <c r="B94" i="3"/>
  <c r="U93" i="3"/>
  <c r="K93" i="3"/>
  <c r="E93" i="3"/>
  <c r="B93" i="3"/>
  <c r="U92" i="3"/>
  <c r="K92" i="3"/>
  <c r="E92" i="3"/>
  <c r="B92" i="3"/>
  <c r="U91" i="3"/>
  <c r="K91" i="3"/>
  <c r="E91" i="3"/>
  <c r="B91" i="3"/>
  <c r="U90" i="3"/>
  <c r="K90" i="3"/>
  <c r="E90" i="3"/>
  <c r="B90" i="3"/>
  <c r="U89" i="3"/>
  <c r="K89" i="3"/>
  <c r="E89" i="3"/>
  <c r="B89" i="3"/>
  <c r="U88" i="3"/>
  <c r="K88" i="3"/>
  <c r="E88" i="3"/>
  <c r="B88" i="3"/>
  <c r="U87" i="3"/>
  <c r="K87" i="3"/>
  <c r="E87" i="3"/>
  <c r="B87" i="3"/>
  <c r="U86" i="3"/>
  <c r="K86" i="3"/>
  <c r="E86" i="3"/>
  <c r="B86" i="3"/>
  <c r="U85" i="3"/>
  <c r="K85" i="3"/>
  <c r="E85" i="3"/>
  <c r="B85" i="3"/>
  <c r="U84" i="3"/>
  <c r="K84" i="3"/>
  <c r="E84" i="3"/>
  <c r="B84" i="3"/>
  <c r="U83" i="3"/>
  <c r="K83" i="3"/>
  <c r="E83" i="3"/>
  <c r="B83" i="3"/>
  <c r="U82" i="3"/>
  <c r="K82" i="3"/>
  <c r="E82" i="3"/>
  <c r="B82" i="3"/>
  <c r="U81" i="3"/>
  <c r="K81" i="3"/>
  <c r="E81" i="3"/>
  <c r="B81" i="3"/>
  <c r="U80" i="3"/>
  <c r="K80" i="3"/>
  <c r="E80" i="3"/>
  <c r="B80" i="3"/>
  <c r="U79" i="3"/>
  <c r="K79" i="3"/>
  <c r="E79" i="3"/>
  <c r="B79" i="3"/>
  <c r="U78" i="3"/>
  <c r="K78" i="3"/>
  <c r="E78" i="3"/>
  <c r="B78" i="3"/>
  <c r="U77" i="3"/>
  <c r="K77" i="3"/>
  <c r="E77" i="3"/>
  <c r="B77" i="3"/>
  <c r="U76" i="3"/>
  <c r="K76" i="3"/>
  <c r="E76" i="3"/>
  <c r="B76" i="3"/>
  <c r="U75" i="3"/>
  <c r="K75" i="3"/>
  <c r="E75" i="3"/>
  <c r="B75" i="3"/>
  <c r="U74" i="3"/>
  <c r="K74" i="3"/>
  <c r="E74" i="3"/>
  <c r="B74" i="3"/>
  <c r="U73" i="3"/>
  <c r="K73" i="3"/>
  <c r="E73" i="3"/>
  <c r="B73" i="3"/>
  <c r="U72" i="3"/>
  <c r="K72" i="3"/>
  <c r="E72" i="3"/>
  <c r="B72" i="3"/>
  <c r="U71" i="3"/>
  <c r="K71" i="3"/>
  <c r="E71" i="3"/>
  <c r="B71" i="3"/>
  <c r="U70" i="3"/>
  <c r="K70" i="3"/>
  <c r="E70" i="3"/>
  <c r="B70" i="3"/>
  <c r="U69" i="3"/>
  <c r="K69" i="3"/>
  <c r="E69" i="3"/>
  <c r="B69" i="3"/>
  <c r="U68" i="3"/>
  <c r="K68" i="3"/>
  <c r="E68" i="3"/>
  <c r="B68" i="3"/>
  <c r="U67" i="3"/>
  <c r="K67" i="3"/>
  <c r="E67" i="3"/>
  <c r="B67" i="3"/>
  <c r="U66" i="3"/>
  <c r="K66" i="3"/>
  <c r="E66" i="3"/>
  <c r="B66" i="3"/>
  <c r="U65" i="3"/>
  <c r="K65" i="3"/>
  <c r="E65" i="3"/>
  <c r="B65" i="3"/>
  <c r="U64" i="3"/>
  <c r="K64" i="3"/>
  <c r="E64" i="3"/>
  <c r="B64" i="3"/>
  <c r="U63" i="3"/>
  <c r="K63" i="3"/>
  <c r="E63" i="3"/>
  <c r="B63" i="3"/>
  <c r="U62" i="3"/>
  <c r="K62" i="3"/>
  <c r="E62" i="3"/>
  <c r="B62" i="3"/>
  <c r="U61" i="3"/>
  <c r="K61" i="3"/>
  <c r="E61" i="3"/>
  <c r="B61" i="3"/>
  <c r="U60" i="3"/>
  <c r="K60" i="3"/>
  <c r="E60" i="3"/>
  <c r="B60" i="3"/>
  <c r="U59" i="3"/>
  <c r="K59" i="3"/>
  <c r="E59" i="3"/>
  <c r="B59" i="3"/>
  <c r="U58" i="3"/>
  <c r="K58" i="3"/>
  <c r="E58" i="3"/>
  <c r="B58" i="3"/>
  <c r="U57" i="3"/>
  <c r="K57" i="3"/>
  <c r="E57" i="3"/>
  <c r="B57" i="3"/>
  <c r="U56" i="3"/>
  <c r="K56" i="3"/>
  <c r="E56" i="3"/>
  <c r="B56" i="3"/>
  <c r="U55" i="3"/>
  <c r="K55" i="3"/>
  <c r="E55" i="3"/>
  <c r="B55" i="3"/>
  <c r="U54" i="3"/>
  <c r="K54" i="3"/>
  <c r="E54" i="3"/>
  <c r="B54" i="3"/>
  <c r="U53" i="3"/>
  <c r="K53" i="3"/>
  <c r="E53" i="3"/>
  <c r="B53" i="3"/>
  <c r="U52" i="3"/>
  <c r="K52" i="3"/>
  <c r="E52" i="3"/>
  <c r="B52" i="3"/>
  <c r="U51" i="3"/>
  <c r="K51" i="3"/>
  <c r="E51" i="3"/>
  <c r="B51" i="3"/>
  <c r="U50" i="3"/>
  <c r="K50" i="3"/>
  <c r="E50" i="3"/>
  <c r="B50" i="3"/>
  <c r="U49" i="3"/>
  <c r="K49" i="3"/>
  <c r="E49" i="3"/>
  <c r="B49" i="3"/>
  <c r="U48" i="3"/>
  <c r="K48" i="3"/>
  <c r="E48" i="3"/>
  <c r="B48" i="3"/>
  <c r="U47" i="3"/>
  <c r="K47" i="3"/>
  <c r="E47" i="3"/>
  <c r="B47" i="3"/>
  <c r="U46" i="3"/>
  <c r="K46" i="3"/>
  <c r="E46" i="3"/>
  <c r="B46" i="3"/>
  <c r="U45" i="3"/>
  <c r="K45" i="3"/>
  <c r="E45" i="3"/>
  <c r="B45" i="3"/>
  <c r="U44" i="3"/>
  <c r="K44" i="3"/>
  <c r="E44" i="3"/>
  <c r="B44" i="3"/>
  <c r="U43" i="3"/>
  <c r="K43" i="3"/>
  <c r="E43" i="3"/>
  <c r="B43" i="3"/>
  <c r="U42" i="3"/>
  <c r="K42" i="3"/>
  <c r="E42" i="3"/>
  <c r="B42" i="3"/>
  <c r="U41" i="3"/>
  <c r="K41" i="3"/>
  <c r="E41" i="3"/>
  <c r="B41" i="3"/>
  <c r="U40" i="3"/>
  <c r="K40" i="3"/>
  <c r="E40" i="3"/>
  <c r="B40" i="3"/>
  <c r="U39" i="3"/>
  <c r="K39" i="3"/>
  <c r="E39" i="3"/>
  <c r="B39" i="3"/>
  <c r="U38" i="3"/>
  <c r="K38" i="3"/>
  <c r="E38" i="3"/>
  <c r="B38" i="3"/>
  <c r="U37" i="3"/>
  <c r="K37" i="3"/>
  <c r="E37" i="3"/>
  <c r="B37" i="3"/>
  <c r="U36" i="3"/>
  <c r="K36" i="3"/>
  <c r="E36" i="3"/>
  <c r="B36" i="3"/>
  <c r="U35" i="3"/>
  <c r="K35" i="3"/>
  <c r="E35" i="3"/>
  <c r="B35" i="3"/>
  <c r="U34" i="3"/>
  <c r="K34" i="3"/>
  <c r="E34" i="3"/>
  <c r="B34" i="3"/>
  <c r="U33" i="3"/>
  <c r="K33" i="3"/>
  <c r="E33" i="3"/>
  <c r="B33" i="3"/>
  <c r="U32" i="3"/>
  <c r="K32" i="3"/>
  <c r="E32" i="3"/>
  <c r="B32" i="3"/>
  <c r="U31" i="3"/>
  <c r="K31" i="3"/>
  <c r="E31" i="3"/>
  <c r="B31" i="3"/>
  <c r="U30" i="3"/>
  <c r="K30" i="3"/>
  <c r="E30" i="3"/>
  <c r="B30" i="3"/>
  <c r="U29" i="3"/>
  <c r="K29" i="3"/>
  <c r="E29" i="3"/>
  <c r="B29" i="3"/>
  <c r="U28" i="3"/>
  <c r="K28" i="3"/>
  <c r="E28" i="3"/>
  <c r="B28" i="3"/>
  <c r="U27" i="3"/>
  <c r="K27" i="3"/>
  <c r="E27" i="3"/>
  <c r="B27" i="3"/>
  <c r="U26" i="3"/>
  <c r="K26" i="3"/>
  <c r="E26" i="3"/>
  <c r="B26" i="3"/>
  <c r="U25" i="3"/>
  <c r="K25" i="3"/>
  <c r="E25" i="3"/>
  <c r="B25" i="3"/>
  <c r="U24" i="3"/>
  <c r="K24" i="3"/>
  <c r="E24" i="3"/>
  <c r="B24" i="3"/>
  <c r="U23" i="3"/>
  <c r="K23" i="3"/>
  <c r="E23" i="3"/>
  <c r="B23" i="3"/>
  <c r="U22" i="3"/>
  <c r="K22" i="3"/>
  <c r="E22" i="3"/>
  <c r="B22" i="3"/>
  <c r="U21" i="3"/>
  <c r="K21" i="3"/>
  <c r="E21" i="3"/>
  <c r="B21" i="3"/>
  <c r="U20" i="3"/>
  <c r="K20" i="3"/>
  <c r="E20" i="3"/>
  <c r="B20" i="3"/>
  <c r="U19" i="3"/>
  <c r="K19" i="3"/>
  <c r="E19" i="3"/>
  <c r="B19" i="3"/>
  <c r="K18" i="3"/>
  <c r="E18" i="3"/>
  <c r="B18" i="3"/>
  <c r="U17" i="3"/>
  <c r="K17" i="3"/>
  <c r="E17" i="3"/>
  <c r="B17" i="3"/>
  <c r="U16" i="3"/>
  <c r="K16" i="3"/>
  <c r="E16" i="3"/>
  <c r="B16" i="3"/>
  <c r="U15" i="3"/>
  <c r="K15" i="3"/>
  <c r="E15" i="3"/>
  <c r="B15" i="3"/>
  <c r="U14" i="3"/>
  <c r="K14" i="3"/>
  <c r="E14" i="3"/>
  <c r="B14" i="3"/>
  <c r="U13" i="3"/>
  <c r="K13" i="3"/>
  <c r="E13" i="3"/>
  <c r="B13" i="3"/>
  <c r="U12" i="3"/>
  <c r="K12" i="3"/>
  <c r="E12" i="3"/>
  <c r="B12" i="3"/>
  <c r="U11" i="3"/>
  <c r="K11" i="3"/>
  <c r="E11" i="3"/>
  <c r="B11" i="3"/>
  <c r="U10" i="3"/>
  <c r="K10" i="3"/>
  <c r="E10" i="3"/>
  <c r="B10" i="3"/>
  <c r="K9" i="3"/>
  <c r="E9" i="3"/>
  <c r="B9" i="3"/>
  <c r="U8" i="3"/>
  <c r="K8" i="3"/>
  <c r="E8" i="3"/>
  <c r="B8" i="3"/>
  <c r="U7" i="3"/>
  <c r="K7" i="3"/>
  <c r="E7" i="3"/>
  <c r="B7" i="3"/>
  <c r="U6" i="3"/>
  <c r="K6" i="3"/>
  <c r="E6" i="3"/>
  <c r="B6" i="3"/>
  <c r="U5" i="3"/>
  <c r="K5" i="3"/>
  <c r="E5" i="3"/>
  <c r="B5" i="3"/>
  <c r="U4" i="3"/>
  <c r="K4" i="3"/>
  <c r="E4" i="3"/>
  <c r="B4" i="3"/>
  <c r="U3" i="3"/>
  <c r="K3" i="3"/>
  <c r="E3" i="3"/>
  <c r="B3" i="3"/>
</calcChain>
</file>

<file path=xl/sharedStrings.xml><?xml version="1.0" encoding="utf-8"?>
<sst xmlns="http://schemas.openxmlformats.org/spreadsheetml/2006/main" count="12547" uniqueCount="8091">
  <si>
    <t>Date</t>
  </si>
  <si>
    <t>Twitter Query: Pedro Sanchez lang:es -filter:retweets -filter:replies</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</si>
  <si>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</si>
  <si>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</si>
  <si>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</si>
  <si>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</si>
  <si>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</si>
  <si>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</si>
  <si>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</si>
  <si>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</si>
  <si>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</si>
  <si>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</si>
  <si>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</si>
  <si>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</si>
  <si>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</si>
  <si>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</si>
  <si>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</si>
  <si>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</si>
  <si>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</si>
  <si>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</si>
  <si>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</si>
  <si>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</si>
  <si>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Antonio Fernández</t>
  </si>
  <si>
    <t>Zapper News App</t>
  </si>
  <si>
    <t>La prueba de que sí se puede es Vd Solo hay que considerar para quien gobierna y en quien se apoya  vía @20m</t>
  </si>
  <si>
    <t>https://www.20minutos.es/noticia/3511559/0/pedro-sanchez-proeuropeo-apoyarse-fuerzas-antieuropeistas-gobernar/?utm_source=twitter.com&amp;utm_medium=socialshare&amp;utm_campaign=desktop</t>
  </si>
  <si>
    <t>Madrid, Comunidad de Madrid</t>
  </si>
  <si>
    <t>Melómano: Bach, Purcell, de Victoria, Wagner, Glass y Pink Floyd. Lector. Irónico. Corredor 🇪🇸</t>
  </si>
  <si>
    <t>¿Eres de derechas o de izquierdas? Elige tus periódicos en http://www.zapper.news 📊📰🗺️ | Conoce nuestro Buscador de noticias: http://www.zapper.news/search</t>
  </si>
  <si>
    <t>http://www.zapper.news</t>
  </si>
  <si>
    <t>David Donaire Jimenez</t>
  </si>
  <si>
    <t>Italia usa la nula credibilidad de los Presupuestos de Sánchez para denunciar en la UE trato discriminatorio</t>
  </si>
  <si>
    <t>https://okdiario.com/economia/2018/12/08/italia-credibilidad-presupuestos-pedro-sanchez-denunciar-ue-trato-discriminatorio-3437675#.XAv2zXODQdo.twitter</t>
  </si>
  <si>
    <t>Torremolinos,Malaga,Spain</t>
  </si>
  <si>
    <t>I am a car mechanic and Pure Spanish horse breeder. Biker and car passionate. Soy mecánico y criador de caballos Pura-Sangre Árabe. Representante de Bullbrakes.</t>
  </si>
  <si>
    <t>http://www.twiter.com/daviddonji</t>
  </si>
  <si>
    <t>Tomás 🐶🤔</t>
  </si>
  <si>
    <t>Aquí el que se junta a FILOETARRAS y sepaRatas, el fake tesis @sanchezcastejon ES IGUAL QUE UNA MENTIRA ANDANTE....😂😂😂😂😂😂 👇👇👇👇👇👇👇👇</t>
  </si>
  <si>
    <t>https://www.libertaddigital.com/espana/2018-12-08/pedro-sanchez-dice-que-pp-y-cs-no-pueden-ser-pro-europeos-y-apoyarse-en-vox-1276629582/amp.html?__twitter_impression=true</t>
  </si>
  <si>
    <t>Oviedo, España</t>
  </si>
  <si>
    <t>Errar es humano....Pero echarle la culpa a otro, es más humano todavia...🙄🤔</t>
  </si>
  <si>
    <t>✅</t>
  </si>
  <si>
    <t>Miguel</t>
  </si>
  <si>
    <t>Pedro Sánchez dice que "no se puede ser proeuropeo y apoyarse en fuerzas antieuropeistas para gobernar", pero él, que defiende supuestamente la unidad de España, sí puede apoyarse en los independentistas para gobernar. Así quién te va a creer. #Consejosvendo</t>
  </si>
  <si>
    <t>https://twitter.com/elconfidencial/status/1071380014925561856
https://www.elconfidencial.com/espana/cataluna/2018-12-08/puigdemont-pedira-a-traves-de-su-consell-la-expulsion-de-espana-de-la-union-europea_1693210/</t>
  </si>
  <si>
    <t>Palma</t>
  </si>
  <si>
    <t>Convivencia Cívica</t>
  </si>
  <si>
    <t>Pedro no ha aprendido nada de las elecciones andaluzas. Vuelve a bajarse los pantalones frente al separatismo catalán.</t>
  </si>
  <si>
    <t>https://bit.ly/2E92kR5</t>
  </si>
  <si>
    <t>https://pbs.twimg.com/media/Dt6LF5MW4AApFQ_.jpg</t>
  </si>
  <si>
    <t>Oviedo</t>
  </si>
  <si>
    <t>Cataluña (España)</t>
  </si>
  <si>
    <t>Perfil oficial de Convivencia Cívica Catalana. Luchamos frente a la intolerancia del nacionalismo en Cataluña, en particular, en el ámbito de la lengua.</t>
  </si>
  <si>
    <t>http://www.convivenciacivica.org/</t>
  </si>
  <si>
    <t>https://twitter.com/sanchezcastejon/status/1070736196228317184</t>
  </si>
  <si>
    <t>https://pbs.twimg.com/media/DtwD3bhX4AA_qWG.jpg</t>
  </si>
  <si>
    <t>Gran Canaria</t>
  </si>
  <si>
    <t>Hamijo</t>
  </si>
  <si>
    <t>Pedro Sánchez si quiere puede reconocer a su padre, otra cosa que lo hagamos el resto RT @_A_Zero: Pedro Sánchez ofrece a los separatistas reconocer a Cataluña como nación a cambio del 'sí' a los Presupuestos</t>
  </si>
  <si>
    <t>https://twitter.com/_A_Zero/status/1071331858590371840
https://okdiario.com/espana/cataluna/2018/12/08/sanchez-ofrece-separatistas-reconocer-cataluna-como-nacion-cambio-del-si-presupuestos-3439890/amp</t>
  </si>
  <si>
    <t>España</t>
  </si>
  <si>
    <t>https://twitter.com/jordi_canyas/status/1071417183543193607
https://cronicaglobal.elespanol.com/politica/cdr-ap-7-corte-autopista_205527_102.html</t>
  </si>
  <si>
    <t>https://www.zapper.news/news</t>
  </si>
  <si>
    <t>Begardegua</t>
  </si>
  <si>
    <t>Pedro Sánchez y su gobierno serán culpables y responsables de esta violencia nacionalista que traerá muertos. Nos han dejado solos y sin protección. RT @yosoynaranjito_: Varios conductores se encaran con los CDR encapuchados después de que estos hayan tenido cortada la AP-7 varias horas. Hoy los Mossos no han hecho absolutamente nada, cualquier dia lamentaremos una desgracia. ¡El Ministerio del Interior debería actuar ya!</t>
  </si>
  <si>
    <t>https://twitter.com/yosoynaranjito_/status/1071351219535396864</t>
  </si>
  <si>
    <t>pic.twitter.com/zq4IxlQ7iQ</t>
  </si>
  <si>
    <t>👤</t>
  </si>
  <si>
    <t>FJDura</t>
  </si>
  <si>
    <t>Me encantan los socios europeístas en los que se sostiene el gobierno de Pedro Sanchez @PSOE . Hay que tener cara de hormigón para decir esa cosas de otros</t>
  </si>
  <si>
    <t>http://www.elmundo.es/cataluna/2018/12/08/5c0b92fb21efa0d45b8b4608.html</t>
  </si>
  <si>
    <t>Hijo de Ceuta, perla del mediterraneo.</t>
  </si>
  <si>
    <t>donDiario.com</t>
  </si>
  <si>
    <t>HEAVY SATANIKO</t>
  </si>
  <si>
    <t>Pedro Sánchez, Florentino Pérez, Rubiales, ellos preparan un partido sin consultar a los ciudadanos y ciudadanas de Madrid. Lo mismo de siempre, los que mandan hacen lo que quieren, y los ciudadanos y ciudadanas, los que pagamos si algo se rompe. RT @NoeMartri: No tenemos otra cosa que hacer que celebrar aquí un partido de fútbol de alto riesgo. Quien correrá con los gastos del despliegue policial, y con los heridos? Porque los habrá!! Y los desperfectos causados en la ciudad? Porque también los habrá!!</t>
  </si>
  <si>
    <t>¡Atención! Pedro Sánchez tiene previsto reconocer a Cataluña como una nación a cambio de su apoyo a los Presupuestos Generales👎🤮  #PedroSanchez #QuimTorra</t>
  </si>
  <si>
    <t>https://bit.ly/2zOGoYl</t>
  </si>
  <si>
    <t>https://twitter.com/NoeMartri/status/1071128786702426112</t>
  </si>
  <si>
    <t>https://pbs.twimg.com/media/Dt4g_VXW4AAftMO.jpg</t>
  </si>
  <si>
    <t>Twitter oficial del diario digital http://donDiario.com . ➡ Facebook: https://www.facebook.com/donDiario/ Instagram: https://www.instagram.com/dondiario</t>
  </si>
  <si>
    <t>http://www.dondiario.com/</t>
  </si>
  <si>
    <t>Alegre,Simpático,Heavy, Anarkista</t>
  </si>
  <si>
    <t>Valladolid</t>
  </si>
  <si>
    <t>FELIX MARTIN</t>
  </si>
  <si>
    <t>QUIEN LE HA DADO AUTORIDAD A PEDRO SANCHEZ PARA CONCEDER NACIONALIDADES ??? RT @_A_Zero: Pedro Sánchez ofrece a los separatistas reconocer a Cataluña como nación a cambio del 'sí' a los Presupuestos</t>
  </si>
  <si>
    <t>Barcelona</t>
  </si>
  <si>
    <t>https://twitter.com/sextaNoticias/status/1070288784489672706
https://twitter.com/DebatAlRojoVivo/status/1070288478284464128</t>
  </si>
  <si>
    <t>Barcelona, España</t>
  </si>
  <si>
    <t>CREADOR MODERNA ESCUELA MARKETING</t>
  </si>
  <si>
    <t>Antonio Cabo</t>
  </si>
  <si>
    <t>Estos del PSOE y sus patibularios compinches no son más tontos porque no entrenan | Periodista Digital. La facultad de interpretar «pro domo sua» los resultados electorales solo corresponde en España a Pedro Sánchez.</t>
  </si>
  <si>
    <t>Siempre💙</t>
  </si>
  <si>
    <t>https://www.periodistadigital.com/opinion/columnistas/2018/12/08/estos-del-psoe-y-sus-patibularios-compinches-no-son-mas-tontos-porque-no-entrenan.shtml#.XAv0qEd-uBo.twitter</t>
  </si>
  <si>
    <t>Sax - Alicante</t>
  </si>
  <si>
    <t>Católico. Español. Amante de las pequeñas cosas. Licenciado con 'aprobao-raspao' en la Universidad de la Vida.</t>
  </si>
  <si>
    <t>¡¡Shine!!🌻</t>
  </si>
  <si>
    <t>martillodeherejes</t>
  </si>
  <si>
    <t>Verás cuando Pedro Sánchez y Marlaska vuelvan del puente y vean lo que pasa en la AP-7 y en toda Cataluña...lo mismo exhuman a Felipe II del Escorial. #8Dic</t>
  </si>
  <si>
    <t>Málaga</t>
  </si>
  <si>
    <t>españa,catalunya,barcelona</t>
  </si>
  <si>
    <t>Aquí,combatiendo la herejía nacional-esteladista.</t>
  </si>
  <si>
    <t>Salvador Escalona</t>
  </si>
  <si>
    <t>AP-7 CAMPANA SOBRE CAMPANA, por Pedro Sánchez - VILLANCICOS POPULARES - PARODIA</t>
  </si>
  <si>
    <t>https://youtu.be/Q9MfBbVwvpg</t>
  </si>
  <si>
    <t>Creador AudioVisual</t>
  </si>
  <si>
    <t>http://www.salvadorescalona.es</t>
  </si>
  <si>
    <t>chicopelusa</t>
  </si>
  <si>
    <t>Momento exacto en el que el socialismo abandona el cuerpo Pedro Sánchez. Escalofriante documento, amigos.</t>
  </si>
  <si>
    <t>https://twitter.com/cronicaglobal/status/1071390658349449216
https://cronicaglobal.elespanol.com/politica/lideres-indepes-tramo-secesion-dramatico_205506_102.html</t>
  </si>
  <si>
    <t>https://pbs.twimg.com/media/Dt6Itk1WsAIhk1Y.jpg</t>
  </si>
  <si>
    <t>Me arrastro hasta los rincones empujado por el viento</t>
  </si>
  <si>
    <t>David del Moral</t>
  </si>
  <si>
    <t>Pedro Moreira</t>
  </si>
  <si>
    <t>El populismo de Pedro Sánchez se extiende al sector energético, por @daniro_asensio  via @libre_mercado</t>
  </si>
  <si>
    <t>http://shr.gs/k83WNfQ</t>
  </si>
  <si>
    <t>https://www.libremercado.com/2018-12-07/el-populismo-de-pedro-sanchez-se-extiende-al-sector-energetico-1276629287/</t>
  </si>
  <si>
    <t>Barberà del Vallès, 🇪🇸🇪🇺🌍</t>
  </si>
  <si>
    <t>Ciència Política i Gestió Pública, UAB.</t>
  </si>
  <si>
    <t>https://delmoraloblog.wordpress.com/</t>
  </si>
  <si>
    <t>Spain</t>
  </si>
  <si>
    <t>Spanish attorney practising in corporate and commercial law, with a substantial commercial litigation practice.</t>
  </si>
  <si>
    <t>http://www.sca-legal.com</t>
  </si>
  <si>
    <t>garri cas ant</t>
  </si>
  <si>
    <t>A Pedro Sánchez quiero decirle, que la Constitución es como un edificio; no se pueden tocar los pilares , ni las paredes de carga, porque se derrumbaría el edificio. Un poco de sentido.</t>
  </si>
  <si>
    <t>malaga</t>
  </si>
  <si>
    <t>Noticias 24 horas</t>
  </si>
  <si>
    <t>Estruendo de aplauso a Pedro Sánchez en enérgica intervención ante los socialistas europeos  #PESinLisbon</t>
  </si>
  <si>
    <t>https://youtu.be/O5jm3v4p0p0?t=335</t>
  </si>
  <si>
    <t>https://pbs.twimg.com/media/Dt6Hpi0WkAE8dwu.jpg</t>
  </si>
  <si>
    <t>Oxford</t>
  </si>
  <si>
    <t>No cuentes las Noticias, haz que las Noticias cuenten. Contacto para Publicidad: PublicidadNoticias24Horas@gmail.com</t>
  </si>
  <si>
    <t>http://www.Noticias24horas.com</t>
  </si>
  <si>
    <t>CAMPANA SOBRE CAMPANA, por Pedro Sánchez - VILLANCICOS POPULARES - PARODIA</t>
  </si>
  <si>
    <t>Madrid, España</t>
  </si>
  <si>
    <t>http://youtu.be/Q9MfBbVwvpg?a</t>
  </si>
  <si>
    <t>Luis Gala</t>
  </si>
  <si>
    <t>Los CDR cortan la AP-7 Los "Mossos" no hacen nada, presumiblemente por orden d Torra Pedro Sánchez y su ministro Marlaska, no se dan por aludidos, porque necesitan a Torra y demás para aprobar los presupuestos Mientras miles de ciudadan@s estan a merced de unos pocos intolerantes RT @elmundoes: Los CDR cortan la AP-7 para pedir la dimisión del consejero de Interior de la Generalitat</t>
  </si>
  <si>
    <t>https://twitter.com/elmundoes/status/1071341683260964864
https://trib.al/WWUPGkT</t>
  </si>
  <si>
    <t xml:space="preserve">De #Madrid, al cielo. #España </t>
  </si>
  <si>
    <t>Solo sé, que no sé nada. Prefiero ser odiado por lo que soy, que amado por lo que no soy.</t>
  </si>
  <si>
    <t>Pedro Castro Vázquez</t>
  </si>
  <si>
    <t>Sánchez alerta del avance de la extrema derecha ante las europeas y reconoce que hay que "hacer mucho más"  vía @eldiarioes</t>
  </si>
  <si>
    <t>https://www.eldiario.es/_32502f6e</t>
  </si>
  <si>
    <t>Granada</t>
  </si>
  <si>
    <t>Getafe</t>
  </si>
  <si>
    <t>Fue Alcalde del Ayuntamiento de Getafe, ciudad que ha ocupado y ocupa mi vida y mis pensamientos</t>
  </si>
  <si>
    <t>http://www.pedrocastro.es</t>
  </si>
  <si>
    <t>London, England</t>
  </si>
  <si>
    <t>Anonymous</t>
  </si>
  <si>
    <t>Para variar, el PSOE copiando las propuestas y discurso de Podemos sin la menor sutileza. Eso sí, a Errejón le debería preocupar que Pedro Sánchez le esté adelantando por la izquierda. RT @La_SER: Sánchez apela a una movilización "serena" y "moderada" de la sociedad ante el auge de la extrema derecha</t>
  </si>
  <si>
    <t>https://twitter.com/La_SER/status/1071405075262771201
http://cadenaser.com/ser/2018/12/08/politica/1544277340_737434.html</t>
  </si>
  <si>
    <t>https://pbs.twimg.com/media/Dt5lOywWoAEoXJV.jpg</t>
  </si>
  <si>
    <t>Twin Peaks</t>
  </si>
  <si>
    <t>Cataluña, España</t>
  </si>
  <si>
    <t>He añadido un vídeo a una lista de reproducción de @YouTube ( - CAMPANA SOBRE CAMPANA, por Pedro Sánchez -</t>
  </si>
  <si>
    <t>Pedro Sánchez asistirá a la Final de la Libertadores en el Bernabéu | #Sanchez #PedroSanchez #politica #noticias #PSOE &gt;</t>
  </si>
  <si>
    <t>https://pbs.twimg.com/media/Dt0yjEaW4AEVvwj.jpg</t>
  </si>
  <si>
    <t>PIB potencial</t>
  </si>
  <si>
    <t>Pedro Sánchez: "Existe una barrera real prácticamente insuperable para muchos jóvenes"</t>
  </si>
  <si>
    <t>http://dlvr.it/Qt8LJc</t>
  </si>
  <si>
    <t>Perfil oficial de PIB potencial, web para aprender finanzas y economía de una manera sencilla.</t>
  </si>
  <si>
    <t>http://www.pibpotencial.com</t>
  </si>
  <si>
    <t>https://twitter.com/sanchezcastejon/status/1070074025131630592</t>
  </si>
  <si>
    <t>madrid</t>
  </si>
  <si>
    <t>https://pbs.twimg.com/media/DtmqbvNW0AIvwkQ.jpg</t>
  </si>
  <si>
    <t>Jams</t>
  </si>
  <si>
    <t>Pedro sanchez esta de viaje Y se la suda esto puede acabar.muy mal es lo que tiene Ser un inconsciente</t>
  </si>
  <si>
    <t>Palma de mallorca</t>
  </si>
  <si>
    <t>De sarria . Bloqueado por puigdemont,pisarello.....</t>
  </si>
  <si>
    <t>Joaquín 🇪🇸🇪🇺♿</t>
  </si>
  <si>
    <t>Quim Torra politiza los Mossos d’Esquadra en detrimento de la seguridad ¡OJO AL DATO, 17.000 POLICÍAS ARMADOS EN MANOS D UN TARADO Y PEDRO SÁNCHEZ PÉREZ-CASTEJÓN, @sanchezcastejon, SIN HACER NADA! ¡APLICAR EL ART. 155 D LA CONSTITUCIÓN YA O LO PAGAREMOS!</t>
  </si>
  <si>
    <t>https://gironanoticies.com/noticia/82062-quim-torra-politiza-los-mossos-desquadra-en-detrimento-de-la-seguridad.htm</t>
  </si>
  <si>
    <t>Diario JAEN</t>
  </si>
  <si>
    <t>#LINARES 🔵🔵 | “Wiki” era persona muy conocida en la ciudad por su implicación en el comercio ⬇⬇</t>
  </si>
  <si>
    <t>No eres lo que logras, eres lo que superas. Licenciado en Derecho. Exec. Máster Urbanismo y Ordenación del Territorio 'MUOT' (CEU)🍊💪</t>
  </si>
  <si>
    <t>Asturias</t>
  </si>
  <si>
    <t>http://ow.ly/kKzy30mUCfm</t>
  </si>
  <si>
    <t>Jaén</t>
  </si>
  <si>
    <t>La actualidad de Jaén y su provincia. Información con nombre y apellidos. Síguenos también en https://www.facebook.com/diariojaen.es/</t>
  </si>
  <si>
    <t>http://www.diariojaen.es</t>
  </si>
  <si>
    <t>Luis J.</t>
  </si>
  <si>
    <t>Pedro Sánchez alerta del auge de la extrema derecha en Europa  via @ABCespana</t>
  </si>
  <si>
    <t>https://www.abc.es/espana/abci-pedro-sanchez-alerta-auge-extrema-derecha-europa-201812081647_noticia.html#ns_campaign=amp-rrss-inducido&amp;ns_mchannel=abc-es&amp;ns_source=tw&amp;ns_linkname=noticia.foto&amp;ns_fee=0</t>
  </si>
  <si>
    <t>Informador de la verdad, de todo lo que sucede en #Colombia y en el #Mundo periodista de opinión, economía y deportes. Independiente</t>
  </si>
  <si>
    <t>Yankas</t>
  </si>
  <si>
    <t>El verdadero #PedroSánchez - InfoVlogger #PSOE #PSICÓPATA #MALDITO #HDP elegido por las urnas de sus cojones y legitimado por todos los que aman España. Pedro Sánchez, Pablo Iglesias, Carles Puigdemont y Bildu juntos, ¿qué puede salir mal?</t>
  </si>
  <si>
    <t>https://www.youtube.com/watch?time_continue=1&amp;v=OBEluUwFIu0</t>
  </si>
  <si>
    <t>Maracaibo Zulia Venezuela</t>
  </si>
  <si>
    <t>Soy Venezolano y español, Iberoamericano, amigo y hermano del mundo entero. https://www.facebook.com/pages/EL-Rinc%C3%B3n-de-Yanka/33490433402</t>
  </si>
  <si>
    <t>http://elrincondeyanka.blogspot.com/</t>
  </si>
  <si>
    <t>A Coruña, Galicia</t>
  </si>
  <si>
    <t>Ruben Couso 🇪🇸</t>
  </si>
  <si>
    <t>Yo alertó del auge de Pedro Sánchez. Claro, como tipos como él no me extraña🙈 RT @abc_es: Pedro Sánchez alerta del auge de la extrema derecha en Europa</t>
  </si>
  <si>
    <t>https://twitter.com/abc_es/status/1071435486596599809
http://ver.abc.es/intbt1</t>
  </si>
  <si>
    <t>Ningures</t>
  </si>
  <si>
    <t>Vivimos en tempos extraños onde os malos son os bos e os bos son os malos (Conta non oficial)</t>
  </si>
  <si>
    <t>Juan Antonio Tirado</t>
  </si>
  <si>
    <t>Pedro Sánchez alerta del auge de la extrema derecha en Europa</t>
  </si>
  <si>
    <t>http://dlvr.it/Qt8KNX</t>
  </si>
  <si>
    <t>https://pbs.twimg.com/media/Dt6GLfUU0AUrabE.jpg</t>
  </si>
  <si>
    <t>Madrid</t>
  </si>
  <si>
    <t>Periodista. Onda Cero. Editor de iBooks, director de @Stonewall_iBook; Radio Inter, Onda Madrid, Radio Voz, City Fm; Prensa4, El Telegrafo y Fotos; PopularTV...</t>
  </si>
  <si>
    <t>https://itunes.apple.com/es/book/gettysburg-1863/id665369445?mt=11</t>
  </si>
  <si>
    <t>Pedro Sánchez confía en quedarse con el centro político de cara al nuevo ciclo electoral | #Sanchez #PedroSanchez #politica #noticias #PSOE &gt;</t>
  </si>
  <si>
    <t>Bernardino Herrera León</t>
  </si>
  <si>
    <t>Desesperado por la pérdida de popularidad, el gobierno de Pedro Sánchez cerrará 1.400 prostíbulos legales. Como en los tiempos de la prohibición de licor en USA, se abrirán de inmediato muchos más ilegales, más difíciles de controlar. La ortodoxa estupidez nunca mira para atrás.</t>
  </si>
  <si>
    <t>https://pbs.twimg.com/media/Dty0srGXgAAK7sb.jpg</t>
  </si>
  <si>
    <t>Caracas, Venezuela</t>
  </si>
  <si>
    <t>Profesor universitario, historiador y comunicólogo.Investigador del Instituto de Investigaciones de la Comunicación de la UCV.</t>
  </si>
  <si>
    <t>https://cambiouniversitario.wordpress.com/2016/10/22/manifiesto-para-el-cambio-universitario/</t>
  </si>
  <si>
    <t>En @elconfidencial: Sánchez urge al socialismo europeo a hacer "mucho más" para frenar a la ultraderecha</t>
  </si>
  <si>
    <t>https://www.elconfidencial.com/espana/2018-12-08/pedro-sanchez-lisboa-congreso-pes-antonio-costa-hacer-mucho-mas-ultraderecha_1693226/?utm_source=twitter&amp;utm_medium=social&amp;utm_campaign=BotoneraWeb</t>
  </si>
  <si>
    <t>https://twitter.com/libertaddigital/status/1071412343349755904
http://dlvr.it/Qt7yvj</t>
  </si>
  <si>
    <t>AleppowerUp</t>
  </si>
  <si>
    <t>Hola pedro sanchez — soy un gay.</t>
  </si>
  <si>
    <t>Aleppaña</t>
  </si>
  <si>
    <t>7 years old refugee girl. Survivor of bombs and war. Account managed by mom. Follow her @KillingJokeUHD.</t>
  </si>
  <si>
    <t>superole</t>
  </si>
  <si>
    <t>AP-7 qué vergüenza de Estado! Pedro Sánchez, ¿estás aquí o estás volando?</t>
  </si>
  <si>
    <t>Ahora que Pablo Iglesias puede presumir de su proyecto habitacional, yo puedo presumir de mi proyecto de movilidad</t>
  </si>
  <si>
    <t>https://okdiario.com/espana/cataluna/2018/12/08/sanchez-ofrece-separatistas-reconocer-cataluna-como-nacion-cambio-del-si-presupuestos-3439890/amp</t>
  </si>
  <si>
    <t>EHdelaR</t>
  </si>
  <si>
    <t>Y auge de presidentes mediocres como @sanchezcastejon Apoyado por extremistas, separatistas e independentistas. Pedro Sánchez alerta del auge de la extrema derecha en Europa  vía @ABCespana</t>
  </si>
  <si>
    <t>https://www.abc.es/espana/abci-pedro-sanchez-alerta-auge-extrema-derecha-europa-201812081647_noticia.html#ns_campaign=rrss-inducido&amp;ns_mchannel=abc-es&amp;ns_source=tw&amp;ns_linkname=noticia-foto&amp;ns_fee=0</t>
  </si>
  <si>
    <t>TOLEDO - ESPAÑA</t>
  </si>
  <si>
    <t>El rey de la noche. Pieza que ve, caza segura. El búho... uhuuuuuuu</t>
  </si>
  <si>
    <t>LexTresAbogados</t>
  </si>
  <si>
    <t>El líder del PSOE pide prepararse y hacer autocrítica de cara a las elecciones europeas del próximo mes de mayo</t>
  </si>
  <si>
    <t>Valencia</t>
  </si>
  <si>
    <t>https://www.lavanguardia.com/politica/20181208/453434819359/pedro-sanchez-llama-socialdemocratas-hacer-mas-extrema-derecha-elecciones-europeas.html?utm_source=twitter_lv&amp;utm_medium=social</t>
  </si>
  <si>
    <t>Valencia, España</t>
  </si>
  <si>
    <t>#LexTresAbogados prestamos: #servicios de #auditoría #asesoramiento #legal #fiscal #Laboral #financiero y de #negocio con una clara #focalización #sectorial</t>
  </si>
  <si>
    <t>http://www.lextres.com</t>
  </si>
  <si>
    <t>ContraTodoPoder</t>
  </si>
  <si>
    <t>Los fachas se sienten molestos por las manifestaciones antifascistas y culpan a Pablo Iglesias, pero nadie se preocupa que hay grupos organizados de extrema derecha para abuchear a Pedro Sánchez cada vez que aparece. #PedroSanchez #respect #President</t>
  </si>
  <si>
    <t>ABC España</t>
  </si>
  <si>
    <t>En el XI Congreso del Partido de los Socialistas Europeos (PES), que ha tenido a lugar en Lisboa, el presidente del Gobierno ha instado a la socialdemocracia a «hacer más» para frenar el «autoritarismo»</t>
  </si>
  <si>
    <t>Santa Cruz de Tenerife, Spain</t>
  </si>
  <si>
    <t>Canal para reflexionar sobre el mundo de la política, la cultura y el deporte. Experto en periodismo, edición y escritor.</t>
  </si>
  <si>
    <t>http://espana.abc.es/intbt2</t>
  </si>
  <si>
    <t>Toda la actualidad política del panorama nacional, de mano de ABC</t>
  </si>
  <si>
    <t>http://www.abc.es</t>
  </si>
  <si>
    <t>Luis Bonete Piqueras</t>
  </si>
  <si>
    <t>PP y Ciudadanos no pueden pactar con VOX.., y el PSOE ¿si puede pactar con Podemos?. Que viene la ultraderecha dice Pedro Sánchez!!!, pero si ya esta gobernando con la ultraizquierda. Hipócrita!!!</t>
  </si>
  <si>
    <t>RousseauCS🇪🇸❤️CAT</t>
  </si>
  <si>
    <t>#PedroSánchez 🤡 desconoce la #ConstitucionEspanola 👉 Pide reformarla para incluir la igualdad entre hombres y mujeres. #sanchezcumfraude, el del DesGobierno, obvia el art. 14. Su comentario ha provocado un auténtico revuelo en #Twitter #LaSilenciosaCat</t>
  </si>
  <si>
    <t>https://www.libertaddigital.com/espana/2018-12-06/pedro-sanchez-desconoce-la-constitucion-pide-reformarla-para-incluir-la-igualdad-entre-hombres-y-mujeres-1276629507/</t>
  </si>
  <si>
    <t>Peninsula De Recebo</t>
  </si>
  <si>
    <t>Mahoumetano y taratashero. Demasiada People mamando. Ni corruptos, ni falaces, ni indepes. Insultos = bloqueo. RT no es estar de acuerdo siempre☝️</t>
  </si>
  <si>
    <t>Almansa (España)</t>
  </si>
  <si>
    <t>Vinatero, periodista, ultramaratoniano, biker MTB, tenista, aprendiz de bajo eléctrico, tiro foso olímpico y nadador (bastante malo, por cierto)</t>
  </si>
  <si>
    <t>http://www.luisbonete.com</t>
  </si>
  <si>
    <t>zanahoRÍAN</t>
  </si>
  <si>
    <t>#InmaculadaConcepción #MadridSinProstitución #Elproxeneta El PSOE del chuloputa Pedro Sánchez propone cerrar los clubes y saqu€ar al cliente de la prostitución. ¡ Puto socialismo de los políticojones !  @eiConfidente @enriquedediegov</t>
  </si>
  <si>
    <t>https://elpais.com/sociedad/2018/12/06/actualidad/1544094442_305207.html?id_externo_rsoc=TW_CC</t>
  </si>
  <si>
    <t>ESPAÑAca ñaca</t>
  </si>
  <si>
    <t>Pedro Sánchez quiere reformar la Constitución para incluir la igualdad entre hombres y mujeres | #Sanchez #PedroSanchez #politica #noticias #PSOE &gt;</t>
  </si>
  <si>
    <t>Soy ROCCOño SIFFREDIvertido : Sólo #SexoOral #POLITICAma #ORGASMOnarquía Votaré al #PartidoFollemos</t>
  </si>
  <si>
    <t>Mariano Planells</t>
  </si>
  <si>
    <t>https://www.zapper.news/news?tpost=251109&amp;taccount=zapper_news</t>
  </si>
  <si>
    <t>DonUno</t>
  </si>
  <si>
    <t>Dice Pedro Sánchez q "no se puede ser pro-europeo y apoyar fuerzas antieuropeistas para gobernar ciertas regiones de nuestro país". Pero él sí q puede ser presidente de nuestro país apoyado en los anticonstitucionalistas y golpistas q habitan en este país.</t>
  </si>
  <si>
    <t>https://twitter.com/govern/status/1071363224526880770</t>
  </si>
  <si>
    <t>https://pbs.twimg.com/media/Dt6DnaJWwAMHVAL.jpg</t>
  </si>
  <si>
    <t>No hay dos sin tres, dicen. Pero de Uno nadie dijo nada. Unitario y pluralmente antisecesionista. Dadaísta de la izquierda.</t>
  </si>
  <si>
    <t>Escritor fenicio, periodista: Solo hay una lucha: la libertad. Retuitear no equivale a respaldo. Ibiza, Cuenca, Extremadura. http://mirdig.wordpress.com</t>
  </si>
  <si>
    <t>http://marianoplanells.blogspot.com.es/</t>
  </si>
  <si>
    <t>Maite Esteban</t>
  </si>
  <si>
    <t>“Si no tuviéramos la Unión Europea, tendríamos que inventarla”. El secretario general del...</t>
  </si>
  <si>
    <t>http://www.psoe.es/actualidad/noticias-actualidad/pedro-sanchez-asegura-que-presentara-unos-pge-con-tres-objetivos-que-sean-sostenibles-desde-el-punto-social-medioambiental-y-financiero/</t>
  </si>
  <si>
    <t>santoňa</t>
  </si>
  <si>
    <t>Militante del Psoe. Orgullosa de mis ideas y enamorada de Santoña, mi pueblo.</t>
  </si>
  <si>
    <t>René 🐦🌍</t>
  </si>
  <si>
    <t>Mis convicciones se afianzan cada vez que leo mentiras como estas. A más atacan a Pedro Sánchez, más lo quiero. Algo estará haciendo bien cuando la derecha falangista necesita perseguirlo. #YoConPedro ✊🌹 RT @Javierfoco: @PSOE @sanchezcastejon @TimmermansEU @EU_Commission @PES_PSE Y usted lo honra con esto</t>
  </si>
  <si>
    <t>https://twitter.com/Javierfoco/status/1071432483554713600</t>
  </si>
  <si>
    <t>https://pbs.twimg.com/media/Dt5-KURWkAI1fUO.jpg</t>
  </si>
  <si>
    <t>Planeta Tierra</t>
  </si>
  <si>
    <t>Gritamos, berreamos, moqueamos, chillamos, maldecimos, porque es mejor llorar que traicionar, porque es mejor llorar que traicionarse (M. Benedetti) #YoConPedro</t>
  </si>
  <si>
    <t>Jesus V</t>
  </si>
  <si>
    <t>Los Mossos protegen a los CDR Torra protege a los Mossos Pedro Sánchez protege a Torra Y a los ESPAÑOLES, ¿QUIÉN NOS PROTEGE?</t>
  </si>
  <si>
    <t>Mayormente España</t>
  </si>
  <si>
    <t>Creo en la Ciencia. Lo demás me lo tenéis que demostrar. En busca de la normalidad. PLVS VLTRA</t>
  </si>
  <si>
    <t>Santander</t>
  </si>
  <si>
    <t>jose</t>
  </si>
  <si>
    <t>La autopista sigue cortada por la cobardía de Pedro Sanchez.</t>
  </si>
  <si>
    <t>Rober</t>
  </si>
  <si>
    <t>tarragona</t>
  </si>
  <si>
    <t>Nacido en Barcelona (ESPAÑA), 🇪🇸Catalan y muy ESPAÑOL, MADRIDISTA hasta la muerte y sobre todo anticule.</t>
  </si>
  <si>
    <t>Sonia Sierra</t>
  </si>
  <si>
    <t>El ejemplo a seguir para el Gobierno de Torra es una guerra con muertos y heridos. Sr. Pedro Sánchez, bájese del avión porque lo de sus socios pinta cada vez peor RT @govern: @QuimTorraiPla @jordialapreso @jorditurull @joseprull @quimforn #President @QuimTorraiPla: "Els catalans hem perdut la por. No ens fan por. No hi ha marxa enrere en el camí cap a la llibertat. Els eslovens van decidir tirar endavant amb totes les conseqüències. Fem com ells i estiguem disposats a tot per viure lliures"</t>
  </si>
  <si>
    <t>Doctora en Filología Española, diputada por Barcelona y portavoz adjunta de Cs en el Parlamento de Cataluña</t>
  </si>
  <si>
    <t>https://www.ciudadanos-cs.org/</t>
  </si>
  <si>
    <t>Miguel Trinidad Arag</t>
  </si>
  <si>
    <t>Ni aun recibiendo un sonoro abucheo, ni con la actitud salvaje y violenta de sus socios ni con los insultos o las amenazas que profieren contra quienes ejercen sus derechos, capaz de ensombrecer el gesto. Es difícil entender de qué se ríe el Sr.Sánchez</t>
  </si>
  <si>
    <t>https://bit.ly/2BXuH30</t>
  </si>
  <si>
    <t>Ingeniero, realista, riguroso, crítico.Amante de la lógica, la psicología social, la inteligencia emocional y las gentes con principios.Ex director de empresas</t>
  </si>
  <si>
    <t>Salvador</t>
  </si>
  <si>
    <t>La Vanguardia</t>
  </si>
  <si>
    <t>Galiciaé</t>
  </si>
  <si>
    <t>#EnVídeo 📹 #PedroSánchez recibe apupos á súa chegada e saída da homenaxe á Constitución #DíaDeLaConstitución</t>
  </si>
  <si>
    <t>https://www.galiciae.com/gl/video/videos/pedro-sanchez-recibe-abucheos-llegada-salida-homenaje-constitucion/20181206164210047980.html</t>
  </si>
  <si>
    <t>Twitter oficial de 'La Vanguardia' Información al minuto nacional e internacional</t>
  </si>
  <si>
    <t>Sede: Santiago de Compostela</t>
  </si>
  <si>
    <t>O Diario Galego http://Galiciae.com</t>
  </si>
  <si>
    <t>http://www.LaVanguardia.com</t>
  </si>
  <si>
    <t>http://www.galiciae.com</t>
  </si>
  <si>
    <t>Málaga, Andalucía, España.</t>
  </si>
  <si>
    <t>Ciudadano aficionado a la astronomía.Cansado de tanta injusticia e impunidad,indignado por la deriva europea,España🇪🇸primero.Rock and roll!</t>
  </si>
  <si>
    <t>Antonio Diaz Thable</t>
  </si>
  <si>
    <t>El Progreso de Lugo</t>
  </si>
  <si>
    <t>y...el Pedroflautas Sánchez que gobierna con el Fascismo Separatista, Proetarras de Bildu, Antisistema, Chavistas bolivarianos de Podemos y la peor carroña inconstitucional, viene a decir, qué ?</t>
  </si>
  <si>
    <t>#EnVídeo 📹 #PedroSánchez recibe abucheos a su llegada y salida del homenaje a la Constitución #DíaDeLaConstitución</t>
  </si>
  <si>
    <t>https://www.elprogreso.es/video/videos/pedro-sanchez-recibe-abucheos-llegada-salida-homenaje-constitucion/201812061641251348095.html</t>
  </si>
  <si>
    <t>https://amp.20minutos.es/noticia/3511559/0/pedro-sanchez-proeuropeo-apoyarse-fuerzas-antieuropeistas-gobernar/</t>
  </si>
  <si>
    <t>Lugo, Galicia, España</t>
  </si>
  <si>
    <t>Twitter Oficial de El Progreso. Somos tu diario de Lugo desde 1908. Ahora puedes seguirnos también por http://www.facebook.com/elprogresodelugo</t>
  </si>
  <si>
    <t>http://elprogreso.galiciae.com</t>
  </si>
  <si>
    <t>Carlos 🇪🇸</t>
  </si>
  <si>
    <t>Pedro Sánchez dice que PP y Cs "no pueden ser pro europeos" y apoyarse en VOX - Libertad Digital</t>
  </si>
  <si>
    <t>Diario de Pontevedra</t>
  </si>
  <si>
    <t>https://www.libertaddigital.com/espana/2018-12-08/pedro-sanchez-dice-que-pp-y-cs-no-pueden-ser-pro-europeos-y-apoyarse-en-vox-1276629582/</t>
  </si>
  <si>
    <t>https://www.diariodepontevedra.es/video/videos/pedro-sanchez-recibe-abucheos-llegada-salida-homenaje-constitucion/201812061637341012611.html</t>
  </si>
  <si>
    <t>Pontevedra (Galicia-Spain)</t>
  </si>
  <si>
    <t>Diario líder en difusión (según los datos del EGM) en la ciudad de Pontevedra y su ámbito de influencia, así como en otras comarcas de la provincia.</t>
  </si>
  <si>
    <t>http://www.diariodepontevedra.es</t>
  </si>
  <si>
    <t>ESPAÑA</t>
  </si>
  <si>
    <t>Evito a todas las personas negativas; siempre tienen un problema para cada solución.</t>
  </si>
  <si>
    <t>Juan</t>
  </si>
  <si>
    <t>Pedro Sánchez, sobre la posibilidad de elecciones en marzo: "Seguiremos trabajando y gobernando" | #Sanchez #PedroSanchez #politica #noticias #PSOE &gt;</t>
  </si>
  <si>
    <t>ISABEL</t>
  </si>
  <si>
    <t>GOBIERNO PEDRO SÁNCHEZ Los Franco denuncian al Gobierno porque el expediente de exhumación lo firmó un falso alto cargo RT @MariaJamardoC: 🔴🔴 Permítanme que insista: 'Los Franco denuncian al Gobierno porque el expediente de exhumación lo firmó un falso alto cargo'. Se complican y mucho las cosas para Sánchez. Les cuento...  @okdiario</t>
  </si>
  <si>
    <t>https://pbs.twimg.com/media/DtvdiS8WsAERDBz.jpg</t>
  </si>
  <si>
    <t>https://twitter.com/MariaJamardoC/status/1069953502812782593
https://okdiario.com/espana/2018/12/04/franco-denuncian-gobierno-porque-expediente-exhumacion-lo-firmo-falso-alto-cargo-3426655#.XAaHDR81BnA.twitter</t>
  </si>
  <si>
    <t>Reino de España 🇪🇸</t>
  </si>
  <si>
    <t>La sonrisa es universal ☕🍺🎶... Excepto para los imbéciles sectarios.</t>
  </si>
  <si>
    <t>https://youtu.be/QFj42skgk1c</t>
  </si>
  <si>
    <t>Sonreír por las mañanas</t>
  </si>
  <si>
    <t>PachakutikGuayas</t>
  </si>
  <si>
    <t>ELECCIONES PRIMARIAS Pedro Ramon Mendoza Sanchez Coordinador Provincial y Dirigente Nacional DOMINGO 9 DE DICIEMBRE DE 2019 de 10h00 a 15h00 En el Auditorium de la Democracia en la Delegacion Provincial Elenctoral del Guayas.</t>
  </si>
  <si>
    <t>Leandro</t>
  </si>
  <si>
    <t>https://pbs.twimg.com/media/Dt6BvCmXQAEkAWF.jpg</t>
  </si>
  <si>
    <t>Guayas, Ecuador</t>
  </si>
  <si>
    <t>PAGINA OFICIAL - MOVIMIENTO DE UNIDAD PLURINACIONAL PACHAKUTIK LISTA 18 GUAYAS</t>
  </si>
  <si>
    <t>Ramón Rey🔻</t>
  </si>
  <si>
    <t>¿Sabrá Pedro Sánchez que entre los partidos con los que pactó su investidura forman parte algunos que quieren que España salga de la UE? 🤔</t>
  </si>
  <si>
    <t>Salamanca, España</t>
  </si>
  <si>
    <t>Crítico y periodista cinematográfico. 🎥 | @pelivista 🎙️ | @CineMaldito ✍️</t>
  </si>
  <si>
    <t>https://ramonrey.blog/</t>
  </si>
  <si>
    <t>"Fuera, fuera": pitos y abucheos a Pedro Sánchez a su llegada al Congreso para el acto del Día de la Constitución | #Sanchez #PedroSanchez #politica #noticias #PSOE &gt;</t>
  </si>
  <si>
    <t>https://pbs.twimg.com/media/DtvEXAKXgAEHBhz.jpg</t>
  </si>
  <si>
    <t>La Republique c'est moi</t>
  </si>
  <si>
    <t>"Tirar hacia delante con todas las consecuencias". ¿ESTE PUTO LOCO NOS QUIERE LLEVAR A LA GUERRA? Pedro Sánchez, la puta broma ya ha durado bastante. RT @govern: @QuimTorraiPla @jordialapreso @jorditurull @joseprull @quimforn #President @QuimTorraiPla: "Els catalans hem perdut la por. No ens fan por. No hi ha marxa enrere en el camí cap a la llibertat. Els eslovens van decidir tirar endavant amb totes les conseqüències. Fem com ells i estiguem disposats a tot per viure lliures"</t>
  </si>
  <si>
    <t>Humano y terráqueo. Estoy dispuesto a que me convenzáis, pero esmeraos un poco, pardiez!</t>
  </si>
  <si>
    <t>Buenos Aires</t>
  </si>
  <si>
    <t>Willy Tolerdo</t>
  </si>
  <si>
    <t>Pedro Sánchez al enterarse del corte de la AP-7 por la gentuza separatista</t>
  </si>
  <si>
    <t>La Prensa Real.</t>
  </si>
  <si>
    <t>Abucheos para Pedro Sánchez y aplausos para la familia real: la llegada al Congreso español #España #40AñosdeConstitución #FelipeVI #PedroSánchez</t>
  </si>
  <si>
    <t>pic.twitter.com/Rl3Ogq5o5T</t>
  </si>
  <si>
    <t>https://laprensareal.wordpress.com/2018/12/06/abucheos-para-pedro-sanchez-y-aplausos-para-la-familia-real-la-llegada-al-congreso-espanol-espana-40anosdeconstitucion-felipevi-pedrosanchez/</t>
  </si>
  <si>
    <t>Cuba y Venezuela</t>
  </si>
  <si>
    <t>Perfil del gran actor y productor imaginario Willy Tolerdo. Todos juntos contra el maldito capitalismo imperialista.</t>
  </si>
  <si>
    <t>https://pbs.twimg.com/media/DtvDmp7U4AA3lTi.jpg</t>
  </si>
  <si>
    <t>Rosa Rojaparatí</t>
  </si>
  <si>
    <t>La oportunidad  Vía:@Comopunos2</t>
  </si>
  <si>
    <t>http://comopunos2.blogspot.com/2018/12/la-gran-oportunidad-Pedro-Sanchez-Susana-Diaz-Andaluzas-Elecciones.html</t>
  </si>
  <si>
    <t>Información Veraz.</t>
  </si>
  <si>
    <t>Sevilla</t>
  </si>
  <si>
    <t>Socialista de corazón. Me gusta la política limpia. Me encantan los animales y la naturaleza.</t>
  </si>
  <si>
    <t>Pedro Sanchez es incapaz de garantizar la libertad de movimiento en España. Con Franco si tenías esa garantía para circular por las carreteras españolas. RT @yosoynaranjito_: Varios conductores se encaran con los CDR encapuchados después de que estos hayan tenido cortada la AP-7 varias horas. Hoy los Mossos no han hecho absolutamente nada, cualquier dia lamentaremos una desgracia. ¡El Ministerio del Interior debería actuar ya!</t>
  </si>
  <si>
    <t>Julio Cárdenas</t>
  </si>
  <si>
    <t>Jajaja...desde la ultraizquierda: Sánchez urge al socialismo europeo a hacer "mucho más" para frenar a la ultraderecha</t>
  </si>
  <si>
    <t>Tenerife</t>
  </si>
  <si>
    <t>Soy un utópico en busca de una sociedad democrática avanzada, nada que ver con la que ahora disfrutamos.</t>
  </si>
  <si>
    <t>http://www.diariodejuliobienvenido.blogspot.com</t>
  </si>
  <si>
    <t>ABC.es</t>
  </si>
  <si>
    <t>http://ver.abc.es/intbt1</t>
  </si>
  <si>
    <t>Diario ABC. También en https://www.abc.es https://www.facebook.com/ABCes/ https://www.instagram.com/abc_diario/ https://www.linkedin.com/company/diario-abc/</t>
  </si>
  <si>
    <t>Fernando López Miras</t>
  </si>
  <si>
    <t>El Gobierno socialista de Pedro Sánchez maltrata a la #RegióndeMurcia y genera desigualdad. Nos castigan sin AVE, sin financiación autonómica y sin agua, pero hoy hemos demostrado que tenemos un @PPRMurcia fuerte y cohesionado para evitar que cumplan sus amenazas</t>
  </si>
  <si>
    <t>https://pbs.twimg.com/media/Dt6A4HOWkAESU6M.jpg</t>
  </si>
  <si>
    <t>Región de Murcia. España</t>
  </si>
  <si>
    <t>Presidente de la Región de Murcia. Abogado. MBA. Mediador Civil y Mercantil. Presidente del @PPRMurcia</t>
  </si>
  <si>
    <t>http://www.carm.es</t>
  </si>
  <si>
    <t>NEWS</t>
  </si>
  <si>
    <t>https://thenewsatyourfingertips.wordpress.com/2018/12/08/pedro-sanchez-alerta-del-auge-de-la-extrema-derecha-en-europa-2/</t>
  </si>
  <si>
    <t>https://pbs.twimg.com/media/Dt6AzHqXQAcpeq0.jpg</t>
  </si>
  <si>
    <t>España, Europa</t>
  </si>
  <si>
    <t>Julio Ganguita 🇪🇸</t>
  </si>
  <si>
    <t>https://www.abc.es/espana/abci-pedro-sanchez-alerta-auge-extrema-derecha-europa-201812081647_noticia.html</t>
  </si>
  <si>
    <t>Cabra, España</t>
  </si>
  <si>
    <t>La corrupción en España solo puede solucionarla el detective Colombo.</t>
  </si>
  <si>
    <t>https://pbs.twimg.com/media/Dt6AE5QX4AASQKv.jpg</t>
  </si>
  <si>
    <t>Javi Maján ∴</t>
  </si>
  <si>
    <t>Yo no tengo ni la más remota idea de quién va a ser el próximo presidente tras las elecciones, de verdad. Lo que tengo claro es que Pedro Sánchez, no lo va a ser.</t>
  </si>
  <si>
    <t>GustavoReportero</t>
  </si>
  <si>
    <t>Bizancio</t>
  </si>
  <si>
    <t>(Antes de decir chorradas por Redes, leeos el artículo 510 del Código Penal) En un mundo en el que todo el mundo juzga, no juzgar marca la diferencia. 2ª época.</t>
  </si>
  <si>
    <t>https://elpais.com/politica/2018/12/04/actualidad/1543916726_658727.html</t>
  </si>
  <si>
    <t>EspañaActual</t>
  </si>
  <si>
    <t>Sánchez: "No se puede ser proeuropeo y apoyarse en fuerzas antieuropeístas para gobernar"</t>
  </si>
  <si>
    <t>https://www.20minutos.es/noticia/3511559/0/pedro-sanchez-proeuropeo-apoyarse-fuerzas-antieuropeistas-gobernar/</t>
  </si>
  <si>
    <t>Noticias de actualidad en España, última hora y reportajes.</t>
  </si>
  <si>
    <t>España en ruínas</t>
  </si>
  <si>
    <t>https://www.abc.es/espana/abci-pedro-sanchez-alerta-auge-extrema-derecha-europa-201812081647_noticia.html#ns_campaign=rrss-inducido&amp;ns_mchannel=abc-es&amp;ns_source=fb&amp;ns_linkname=noticia-foto&amp;ns_fee=0</t>
  </si>
  <si>
    <t>Pedro Sánchez</t>
  </si>
  <si>
    <t>https://thenewsatyourfingertips.wordpress.com/2018/12/08/pedro-sanchez-alerta-del-auge-de-la-extrema-derecha-en-europa/</t>
  </si>
  <si>
    <t>https://pbs.twimg.com/media/Dt5_rrhVsAAAZEe.jpg</t>
  </si>
  <si>
    <t>pedro campos</t>
  </si>
  <si>
    <t>#LaLigaxESPN Hola!, existe el rumor que Alexis Sánchez llegue al equipo de Simeone, será verdad?...Pedro Campos desde Chile..</t>
  </si>
  <si>
    <t>ZETAS GAC OVIEDO</t>
  </si>
  <si>
    <t>⚽COPA LIBERTADORES ⚽ 🔊Mientras nuestra Policía Nacional trabaja gratis, el gobierno de Pedro Sánchez se embolsa una millonada.💰 4️⃣2️⃣ Millones de 💶 para el Gobierno. 0️⃣ € para los Policías que participan en el dispositivo. Su única recompensa 1 día y medio de descanso.</t>
  </si>
  <si>
    <t>https://pbs.twimg.com/media/Dt5_SvPX4AAsK_O.jpg</t>
  </si>
  <si>
    <t>Zeta la última letra... los primeros en llegar y los últimos en irse. #SERVIR Y PROTEGER. ☎️091🇪🇸🇪🇸🚔👮 TWITTER NO OFICIAL</t>
  </si>
  <si>
    <t>BuzoneoVox</t>
  </si>
  <si>
    <t>Los abucheos a Pedro Sánchez es un no parar... porqué creéis que utiliza tanto el Falcón? RT @mcyava: El verdadero CIS de @sanchezcastejon: otro espectacular abucheo en el Congreso 👇👇  vía @ESdiario_com</t>
  </si>
  <si>
    <t>https://twitter.com/mcyava/status/1071428759381778436
https://www.esdiario.com/238196932/El-verdadero-CIS-de-Pedro-Sanchez-otro-espectacular-abucheo-en-el-Congreso.html</t>
  </si>
  <si>
    <t>Imprime y buzonea a tus vecinos. Ayuda a propagar las ideas de @vox. Mándanos tus propuestas, colabora con nosotros. Cuenta no oficial. #VoxAvanza</t>
  </si>
  <si>
    <t>ECEspaña</t>
  </si>
  <si>
    <t>Sánchez urge al socialismo europeo a hacer "mucho más" para frenar a la ultraderecha</t>
  </si>
  <si>
    <t>https://www.elconfidencial.com/espana/2018-12-08/pedro-sanchez-lisboa-congreso-pes-antonio-costa-hacer-mucho-mas-ultraderecha_1693226/?utm_source=twitter&amp;utm_medium=social&amp;utm_campaign=NacionalDiarioAutomatico</t>
  </si>
  <si>
    <t>Sección de Nacional de @elconfidencial. Investigación, política y tribunales.</t>
  </si>
  <si>
    <t>http://elconfidencial.com</t>
  </si>
  <si>
    <t>Peter Sánchez</t>
  </si>
  <si>
    <t>Juan Salgado Igual</t>
  </si>
  <si>
    <t>Mérida, Sevilla, Tarifa (ESP)</t>
  </si>
  <si>
    <t>Surfer que no suele perder elecciones.</t>
  </si>
  <si>
    <t>Málaga, España</t>
  </si>
  <si>
    <t>JGM</t>
  </si>
  <si>
    <t>Sánchez urge al socialismo europeo a hacer "mucho más" para frenar a la ultraderecha  Juanma Romero</t>
  </si>
  <si>
    <t>https://ift.tt/2rsufUl</t>
  </si>
  <si>
    <t>🇪🇺🇪🇸󠁥󠁳󠁡󠁳󠁿🇸🇪 LET THE WORLD KNOW THE TRUTH: Catalonian independence movement it's about the SUPREMACY OF SOME CATALANS over other Catalans only.</t>
  </si>
  <si>
    <t>https://www.esdiario.com/452403351/Las-cifras-del-panico-asi-conduce-Pedro-Sanchez-al-precipicio-al-PSOE-.html</t>
  </si>
  <si>
    <t>La vida es un gran viaje para encontrarse a uno mismo, y debemos hacerlo con la mayor ilusión posible.</t>
  </si>
  <si>
    <t>El otro día, en la entrevista de Pedro Sánchez a Informativos Tele5, decía que no le temblaría el pulso para aplicar el 155...</t>
  </si>
  <si>
    <t>pic.twitter.com/GtXp1o9Bt6</t>
  </si>
  <si>
    <t>https://www.elconfidencial.com/espana/2018-12-08/pedro-sanchez-lisboa-congreso-pes-antonio-costa-hacer-mucho-mas-ultraderecha_1693226/</t>
  </si>
  <si>
    <t>CARLOS FCO</t>
  </si>
  <si>
    <t>Y Pedro Sánchez tampoco hará nada para que no le desalojen de la Moncloa. RT @Societatcc: Bloquean autopistas y... ¿Qué hacen los Mossos? Nada, porque saben que si hacen algo @QuimTorraiPla les purgará.</t>
  </si>
  <si>
    <t>https://twitter.com/Societatcc/status/1071376986793304064</t>
  </si>
  <si>
    <t>pic.twitter.com/b67WyVUu6g</t>
  </si>
  <si>
    <t>Barcelona #Tabarnia</t>
  </si>
  <si>
    <t>Pragmático, las ideologías son las cárceles del pensamiento.</t>
  </si>
  <si>
    <t>Cs CLM</t>
  </si>
  <si>
    <t>🤔 ¿Conoces el diccionario político? 👉🏻 Aquí te dejamos el término que aplica Pedro Sánchez para no llegar a acuerdos con el resto de fuerzas parlamentarias. #SanchismoEs #EleccionesYa</t>
  </si>
  <si>
    <t>https://pbs.twimg.com/media/Dt58ScpXcAAeFZT.jpg</t>
  </si>
  <si>
    <t>Castilla-La Mancha</t>
  </si>
  <si>
    <t>Perfil Oficial. Partido político progresista, surgido de un movimiento de ciudadanos que quieren regenerar la política. https://www.facebook.com/CiudadanosCLM/</t>
  </si>
  <si>
    <t>http://castillalamancha.ciudadanos-cs.org</t>
  </si>
  <si>
    <t>Luis Fdo. Pérez Ferra🇪🇸</t>
  </si>
  <si>
    <t>Estos, Pedro Sánchez también, no tienen vergüenza ni conocimiento de ella. Serían capaces de iniciar los telediarios de (TVE) con el himno nacional con tal de conservar el poder hasta 2020. Les da igual San Antón que la Purísima Concepción.</t>
  </si>
  <si>
    <t>https://www.elespanol.com/espana/politica/20181208/errejon-recuperara-bandera-espanola-podemos-francia-envidia/358965067_0.html</t>
  </si>
  <si>
    <t>SLTP Acepta</t>
  </si>
  <si>
    <t>Carlos Paramio 🇪🇸</t>
  </si>
  <si>
    <t>Esto es lo que le preocupa a la Delegada del Gobierno Socialista de Pedro Sánchez, mientras en #Cataluña sucumben a los actos vandálicos y violentos de los CDR y se arrodillan ante los independentistas. RT @A3Noticias: VÍDEO | Cunillera, en referencia a PP y C's: "No hace falta que Vox venga a Cataluña, lo tenemos todos los días" ▶️</t>
  </si>
  <si>
    <t>https://twitter.com/a3noticias/status/1071409059427991553
http://atres.red/77p1l1</t>
  </si>
  <si>
    <t>Valladolid - Castilla y León</t>
  </si>
  <si>
    <t>De pueblo. Orgulloso de ser de #CyL. 100% Positivo, RRPP, Atleta Popular #Política #Turismo #Cultura y todo lo bueno que pasa en #Valladolid #CyL #España 🇪🇸</t>
  </si>
  <si>
    <t>Lo único bueno de Pedro Sánchez son estos ratos en que nos echamos unas risas... RT @ana_urcelay: .😂😂😂😂😂😂 Ridículo apoteósico: Pedro Sánchez pide reformar la Constitución para incluir un artículo․.. que ya existe. @sanchezcastejon  vía @MediterraneoDGT</t>
  </si>
  <si>
    <t>https://twitter.com/ana_urcelay/status/1070996161983590400
https://www.mediterraneodigital.com/espana/espana/ridiculo-apoteosico-pedro-sanchez-pide-reformar-la-constitucion-para-incluir-un-articulo-que-ya-existe.html</t>
  </si>
  <si>
    <t>Marchal-Sabater</t>
  </si>
  <si>
    <t>El jefe de Pedro Sánchez pidiendo que nos echen de Europa.</t>
  </si>
  <si>
    <t>https://www.elconfidencial.com/espana/cataluna/2018-12-08/puigdemont-pedira-a-traves-de-su-consell-la-expulsion-de-espana-de-la-union-europea_1693210/</t>
  </si>
  <si>
    <t>Escritor Murciano, Autor de: El Valle de las Tormentas; Bajo la Cruz de Lorena y Oiz 1985. La sombra de la sospecha.</t>
  </si>
  <si>
    <t>https://marchalsabater.wordpress.com/</t>
  </si>
  <si>
    <t>Mari Carmen #FreeTabarnia #SanchezDimision</t>
  </si>
  <si>
    <t>El verdadero CIS de @sanchezcastejon: otro espectacular abucheo en el Congreso 👇👇  vía @ESdiario_com</t>
  </si>
  <si>
    <t>https://www.esdiario.com/238196932/El-verdadero-CIS-de-Pedro-Sanchez-otro-espectacular-abucheo-en-el-Congreso.html</t>
  </si>
  <si>
    <t>Excepto Dios, nadie es lo suficientemente importante en tu vida para amargártela. ( Pedro Altuna)</t>
  </si>
  <si>
    <t>Mar 🇪🇸🇪🇸</t>
  </si>
  <si>
    <t>Que debería hacer Pedro Sánchez urgentemente en Cataluña</t>
  </si>
  <si>
    <t>Amante de los animales. Defiendo la unidad de España 🇪🇸🇪🇸🇪🇸. Dixlesica</t>
  </si>
  <si>
    <t>คﻮยค๓คɭค​</t>
  </si>
  <si>
    <t>Pedro Sánchez rascándose los cataplines en su Jet. RT @matthewbennett: Otra cuenta CDR en Telegram organizando el corte de la AP7: "Mossos ya ha hecho acto de presencia. Hay que ser más gente en #ampollaAP7. No desaprovechemos esta chispa".</t>
  </si>
  <si>
    <t>https://twitter.com/matthewbennett/status/1071422534174826496</t>
  </si>
  <si>
    <t>https://pbs.twimg.com/media/Dt51DQYW4AAt9EK.jpg</t>
  </si>
  <si>
    <t>Atlantida con @el_veintiseis</t>
  </si>
  <si>
    <t>y un barquito,de vela y un viento de levante pa llevarte a todas partes,el cielo,un pentagrama y componerte,con notas de color,una canción,para ti.♪♫♬</t>
  </si>
  <si>
    <t>El responsable es Pedro Sánchez por no hacer nada. RT @jordi_canyas: Los CDR de Torra decretan "indefinido" su corte de la autopista AP-7. Su impunidad es fruto de las amenazas del ⁦@govern⁩ golpista a los ⁦@mossos⁩ . Los ciudadanos sufren a unos violentos que ejercen de brazo KarrerBorroka del separatismo.</t>
  </si>
  <si>
    <t>Andrés De Francisco 🎗</t>
  </si>
  <si>
    <t>Europa</t>
  </si>
  <si>
    <t>Catalunya.</t>
  </si>
  <si>
    <t>En contra de lo toros y la cacería. Republicano, demócrata, anti-fascista y apoyo a los catalanes contra los atropellos del estado español.</t>
  </si>
  <si>
    <t>Claudio el espetaó</t>
  </si>
  <si>
    <t>Pedro Sánchez si Susana no dimite cambiaré todo el aparato socialista andaluz el chiringuito ya se acabó</t>
  </si>
  <si>
    <t>Hola mi nombre es Claudio, jubilado, 5 hijos, 8 nietos, 80 años de regimen y tieso como la mojama, escribo muy má.</t>
  </si>
  <si>
    <t>Daniel Carretero</t>
  </si>
  <si>
    <t>Y la moralina viene de un partido, el de Pedro Sánchez, cuyo suegro era dueño de una sauna gay, que tiene en sus filas al único político condenado por pegar a su mujer y cuyos dirigentes en Andalucía se gastaron el dinero de los trabajadores en un puticlub sevillano.</t>
  </si>
  <si>
    <t>Periodista.</t>
  </si>
  <si>
    <t>La Voz de Galicia</t>
  </si>
  <si>
    <t>Pedro Sánchez acusa a PP y Ciudadanos de «apoyarse en fuerzas antieuropeistas para gobernar»</t>
  </si>
  <si>
    <t>Zaragoza</t>
  </si>
  <si>
    <t>http://lavoz.gal/pjfwd1</t>
  </si>
  <si>
    <t>Galicia | España</t>
  </si>
  <si>
    <t>136 años informando • Facebook http://lavoz.gal/vdpbv • Instagram http://lavoz.gal/jt60r</t>
  </si>
  <si>
    <t>http://lavozdegalicia.es</t>
  </si>
  <si>
    <t>EL DIGITAL CLM</t>
  </si>
  <si>
    <t>EN PORTADA | @PabloCasado_ anuncia que llevará al Congreso una Proposición de Ley para garantizar los trasvases</t>
  </si>
  <si>
    <t>https://www.eldigitalcastillalamancha.es/actualidad/460957021/El-PSOE-de-Page-vuelve-a-distanciarse-de-Pedro-Sanchez-en-defensa-del-sector-de-la-caza.html</t>
  </si>
  <si>
    <t>El periódico digital más influyente de Castilla-La Mancha. Actualidad, opinión, deportes y mucho más.</t>
  </si>
  <si>
    <t>http://www.eldigitalcastillalamancha.es/</t>
  </si>
  <si>
    <t>Víctor Arrogante ✊</t>
  </si>
  <si>
    <t>Pedro Sánchez: "No se puede ser proeuropeo y apoyarse en fuerzas antieuropeistas para gobernar"</t>
  </si>
  <si>
    <t>https://www.eldiario.es/politica/Sanchez-alerta-extrema-derecha-europeas_0_844115822.html</t>
  </si>
  <si>
    <t>https://pbs.twimg.com/media/Dt5sW-_W4AAqcIR.jpg</t>
  </si>
  <si>
    <t>Madrid (España)</t>
  </si>
  <si>
    <t>Profesor. Ayer y hoy militante por la justicia, la igualdad y la solidaridad. Inmediatamente me di cuenta que era algo por lo que merecía la pena luchar</t>
  </si>
  <si>
    <t>http://www.multiforo.eu</t>
  </si>
  <si>
    <t>Estrellado</t>
  </si>
  <si>
    <t>Pedro Sánchez y Grande Marlaska deben estar esperando a que haya muertos en Cataluña antes de mover un dedo. Pues que se vayan preparando, que a este paso pronto conseguirán lo que buscan. Y entonces serán ellos y Quim Torra los culpables del desastre que se avecina.</t>
  </si>
  <si>
    <t>pic.twitter.com/9qNArqWpqH</t>
  </si>
  <si>
    <t>Waterloo, Bélgica</t>
  </si>
  <si>
    <t>Un toque de realidad para quienes, a base de demagogia e ingenuidad, han abandonado la senyera para abrazar la estrellada.</t>
  </si>
  <si>
    <t>PEDRO SANCHEZ ES UN CATETO POLITICO !!! hay que darle en los morros, pero IGNORARLO RT @desamparadosb: También decía que la moción era para convocar elecciones y aquí estamos, esperando.</t>
  </si>
  <si>
    <t>https://twitter.com/desamparadosb/status/1071418422058250242
https://twitter.com/libertaddigital/status/1071412343349755904</t>
  </si>
  <si>
    <t>Puri Gonzalo 🇪🇺🌹</t>
  </si>
  <si>
    <t>🌹 Pedro Sánchez, PG, ha asegurado hoy en Lisboa que la socialdemocracia ha sido la creadora de una gran sociedad la europea, basada en los principios de la libertad, la igualdad y.. “Si no tuviéramos la Unión Europea, tendríamos que inventarla”  vía @PSOE</t>
  </si>
  <si>
    <t>Cantabria y La Rioja</t>
  </si>
  <si>
    <t>Socialista por convicción. Cuando veo a un podemita, no veo a un español, veo a un compañero de partido.Trabajando para alcanzar la mayoría absoluta socialista.</t>
  </si>
  <si>
    <t>Andalucía, España</t>
  </si>
  <si>
    <t>Paquita</t>
  </si>
  <si>
    <t>Porque no les importa España, lo que quieren es dominar a los españoles, para hacer lo que han hecho en Venezuela, y Pedro Sánches le ha dado la oportunidad de meter la cuchara en este perol, pero claro Sánchez ya se ha buscado un empleo en Europa, y por eso está dandonos lalata. RT @rosadiezglez: ¿Os imagináis qué ocurriría si un partido “de derechas” dijera que no reconoce el resultado de unas elecciones y llamarán a las gentes a echarse a las calles? Pues es lo que dicen y hacen los socios del Gobierno de España, tan ‘de izquierdas’, tan ‘progres’... y no pasa nada.</t>
  </si>
  <si>
    <t>https://twitter.com/rosadiezglez/status/1071335367855476738</t>
  </si>
  <si>
    <t>pic.twitter.com/hGPcMT1GhS</t>
  </si>
  <si>
    <t>Perico</t>
  </si>
  <si>
    <t>Pedro el guapo Sánchez es un traidor, una marioneta de Torra y del independentismo RT @Er_Richal: Los Mossos han decidido no intervenir en el cierre de la AP7 por los encapuchados CDR para evitar las sanciones de Torra. Y esto, amigos, es lo que pasa en Cataluña mientras Sánchez nos abandona, al igual que han hecho anteriores gobiernos.</t>
  </si>
  <si>
    <t>https://twitter.com/Er_Richal/status/1071408658582564864</t>
  </si>
  <si>
    <t>Pedro el guapo.</t>
  </si>
  <si>
    <t>PATTON™🇺🇸🇪🇸🇮🇱</t>
  </si>
  <si>
    <t>SÁNCHEZ EL TRAIDOR PONE A LA VENTA CATALUÑA: Reconocerá Cataluña como "nación" a cambio de que los independentistas acepten los Presupuestos</t>
  </si>
  <si>
    <t>https://casoaislado.com/pedro-sanchez-reconocera-cataluna-como-nacion-a-cambio-de-que-los-independentistas-acepten-los-presupuestos/</t>
  </si>
  <si>
    <t>pic.twitter.com/o8Z2SKww8p</t>
  </si>
  <si>
    <t>Reino De Valencia 🇪🇸</t>
  </si>
  <si>
    <t>Nadie derrumba a quien Dios levanta, nadie derrota a quien Dios protege, nadie maldice a quien Dios Bendice. God Bless the Good People💖 #Israel ✡️ No📩🚫 @Vox</t>
  </si>
  <si>
    <t>Alberto Asensi</t>
  </si>
  <si>
    <t>Seguro de que la mayoría de seguidores del Boca y del River hubieran preferido anular el partido que celebrarlo en Madrid para proclamar al mundo que no se puede jugar en 'la violenta Argentina'. Y tengamos presente que este partido es otro de los caprichos de Pedro Sánchez.</t>
  </si>
  <si>
    <t>No soy periodista. No vivo de lo que escribo. Lamento ambas cosas, pero las dos convierten en deliciosamente peligrosas mis palabras.</t>
  </si>
  <si>
    <t>Noemí Noguerol 🇪🇸</t>
  </si>
  <si>
    <t>Sánchez dice que PP y Cs "no pueden ser pro europeos" y apoyarse en VOX  vía @libertaddigital</t>
  </si>
  <si>
    <t>A Coruña, España</t>
  </si>
  <si>
    <t>Abogada mediadora, liberal convencida Me gustan los libros, la música, la informatica... Soy PRO-VIDA. http://damacristal84.wordpress.com</t>
  </si>
  <si>
    <t>http://foros.foxinver.com</t>
  </si>
  <si>
    <t>El Confidencial</t>
  </si>
  <si>
    <t>España, país de peluquerías: una para 900 habitantes, el doble que la media europea</t>
  </si>
  <si>
    <t>moderador(@)elconfidencial.com</t>
  </si>
  <si>
    <t>El diario de los lectores influyentes como tú. Más noticias en http://facebook.com/elconfidencial.</t>
  </si>
  <si>
    <t>Luis Hernando</t>
  </si>
  <si>
    <t>Emilio Guerrero Calvo</t>
  </si>
  <si>
    <t>Pues eso seguimos por delante con el PSOE de Pedro Sánchez y eso buena señal, porque significa que la mayoría de los Españoles le dan nota buena a su gobierno a pesar de las trabas que se le ponen .</t>
  </si>
  <si>
    <t>https://www.lainformacion.com/espana/cis-diciembre-psoe-ganaria-elecciones/6455156?utm_source=facebook.com&amp;utm_medium=socialshare&amp;utm_campaign=mobile_web</t>
  </si>
  <si>
    <t>Digo lo que pienso y siento. Tod@s me temen porque soy poco influenciable.</t>
  </si>
  <si>
    <t>COPE</t>
  </si>
  <si>
    <t>Está pasando, estás en COPE 📻 Toda la información 💻, el mejor equipo de la radio deportiva🏅, el mejor entretenimiento y podcast 🎙️</t>
  </si>
  <si>
    <t>http://www.cope.es</t>
  </si>
  <si>
    <t>Culhwch</t>
  </si>
  <si>
    <t>No se puede dar lecciones de nada cuando se es republicano pero monárquico toda tu vida.</t>
  </si>
  <si>
    <t xml:space="preserve">Grupo Local </t>
  </si>
  <si>
    <t>Ruido es vida</t>
  </si>
  <si>
    <t>Ramon Collado</t>
  </si>
  <si>
    <t>Pedro Sánchez asegura que presentará unos PGE con tres objetivos: que sean sostenibles desde el[...]  vía @PSOE</t>
  </si>
  <si>
    <t>Arquitecto</t>
  </si>
  <si>
    <t>http://www.ramoncollado.com</t>
  </si>
  <si>
    <t>.</t>
  </si>
  <si>
    <t>Pedro Sánchez tiene toa la cara de ser la clase de persona que dejaría que quemaran España entera con tal de que acto seguido le nombrasen presidente de las cenizas.</t>
  </si>
  <si>
    <t>Para el PP y Ciudadanos, Pedro Sánchez, es un vendedor de humo por el acuerdo sobre Gibraltar  @lamardeonuba #TratadoUtrech #ConflictoGibraltarEspaña #DerechoDeAutodeterminación #Brexit</t>
  </si>
  <si>
    <t>http://revista.lamardeonuba.es/tratado-de-utrecht-dos/</t>
  </si>
  <si>
    <t>Carlos</t>
  </si>
  <si>
    <t>Politikans</t>
  </si>
  <si>
    <t>Y lo dices tu!!!! que estas gobernando con la izquierda mas radical de cataluña con los proetarras y con unos seres que quieren irse de españa jajajajaj macho eres ZP2 cada palabra que sale de tu boca la cagas.</t>
  </si>
  <si>
    <t>En este perfil se hablarán de muchos temas sobre política y habrá muchas votaciones, Si te gusta o no la política VOTA Y RETUITEA!!!! 👈</t>
  </si>
  <si>
    <t>Según Pedro Sánchez, España está en condiciones de resolver la cuestión enquistada desde hace 300 años, en una posición de fortaleza que no habíamos tenido nunca  @liverdades #TratadoUtrech #ConflictoGibraltarEspaña #DerechoDeAutodeterminación #Brexit</t>
  </si>
  <si>
    <t>https://liverdades.com/tratado-de-utrecht-dos/</t>
  </si>
  <si>
    <t>Dice Pedro Sánchez que España está en disposición de acometer el amplio diálogo pendiente con el Gobierno británico sobre la soberanía de Gibraltar  #TratadoUtrech #ConflictoGibraltarEspaña #DerechoDeAutodeterminación #Brexit</t>
  </si>
  <si>
    <t>https://victorarrogante.com/component/k2/item/4198-tratado-de-utrecht-dos.html</t>
  </si>
  <si>
    <t>Francisco Marcos</t>
  </si>
  <si>
    <t>Ridículo apoteósico: Pedro Sánchez pide reformar la Constitución para incluir un artículo․.. que ya existe  vía @MediterraneoDGT</t>
  </si>
  <si>
    <t>https://www.mediterraneodigital.com/espana/espana/ridiculo-apoteosico-pedro-sanchez-pide-reformar-la-constitucion-para-incluir-un-articulo-que-ya-existe.html</t>
  </si>
  <si>
    <t>CARTAGENA (Murcia) (ESPAÑA)</t>
  </si>
  <si>
    <t>Durante mucho tiempo fui todo lo que pude . . . . . . . ahora soy todo lo que quiero.</t>
  </si>
  <si>
    <t>Listas otros</t>
  </si>
  <si>
    <t>María de Tabarnia 🇪🇸 🌺</t>
  </si>
  <si>
    <t>http://ver.20m.es/jw02d3</t>
  </si>
  <si>
    <t>https://pbs.twimg.com/media/Dt5xoTKW0AYVhvy.jpg</t>
  </si>
  <si>
    <t>Barcelona, Cataluña, ESPAÑA</t>
  </si>
  <si>
    <t>Enamorada de la Mar y de la Luna, de la cultura, arte, música, deporte, de mis hijos, de Dios, del AMOR... "Cualquier noche de estas, volverá a brillar el Sol".</t>
  </si>
  <si>
    <t>http://listas.20minutos.es/otros/</t>
  </si>
  <si>
    <t>The Catalan Analyst</t>
  </si>
  <si>
    <t>https://twitter.com/arturelpayaso2/status/1071382343846383617</t>
  </si>
  <si>
    <t>pic.twitter.com/JEaIlKxSwe</t>
  </si>
  <si>
    <t>Barcelona, Cataluña, España, U</t>
  </si>
  <si>
    <t>Donde es posible decir lo que se quiere, nadie hace el esfuerzo de decir solo lo que importa' | N.G. Dávila</t>
  </si>
  <si>
    <t>José Feijóo Carrasco</t>
  </si>
  <si>
    <t>El Gobierno se lía con la edad de jubilación: ¿hay que trabajar más o no? Pedro Sánchez quiere recuperar la jubilación forzosa. Mientras, Octavio Granado dice que su objetivo es retrasar el momento del retiro. Este Gobierno está más perdido que un pulpo en un garaje.</t>
  </si>
  <si>
    <t>http://catalananalyst.blogspot.com.es</t>
  </si>
  <si>
    <t>Pola de Lena</t>
  </si>
  <si>
    <t>Estudios de Magisterio y de Administración Local</t>
  </si>
  <si>
    <t>RSS_Noticias</t>
  </si>
  <si>
    <t>Sánchez urge al socialismo europeo a hacer mucho más para combatir a la ultraderecha , en tendencia viral desde December 08, 2018 at 03:16PM</t>
  </si>
  <si>
    <t>http://bit.ly/2rtSem1</t>
  </si>
  <si>
    <t>hola(@)josemanuelrodos.es</t>
  </si>
  <si>
    <t>Noticias más compartidas/comentadas de medios españoles relevantes (El País, El Mundo, ABC, El Confidencial, http://eldiario.es). Por @josemanuelrodos.</t>
  </si>
  <si>
    <t>gatosable</t>
  </si>
  <si>
    <t>La especialidad de estos ineptos es crear frases bonitas, clichés que impacten en el populorum, Chávez creó el "socialismo del siglo XXI", ahora escucho de Pedro Sánchez: "el socialismo sustentable". Luego se escandalizan cuando aparecen movimientos como VOX. RT @ernestoam21: Suena a advertencia: como no respetamos las reglas de la economía, serán desequilibrados, provocarán una nueva crisis, de esas de las que solo sabemos ocasionar los del PSOE...</t>
  </si>
  <si>
    <t>https://twitter.com/ernestoam21/status/1071391625031663616
https://twitter.com/telediario_tve/status/1071388470789136385</t>
  </si>
  <si>
    <t>Shizuka</t>
  </si>
  <si>
    <t>Según Pedro Sanchez: "No se puede ser proeuropeo y apoyarse en fuerzas antieuropeístas para gobernar" ¿Entonces se puede gobernar España, apoyado en quienes quieren desmembrar España? ¿Me lo puede explicar alguien? - Muy loco esto eh!</t>
  </si>
  <si>
    <t>#ConMisHijosNoTeMetas #Noalaideologiadegenero</t>
  </si>
  <si>
    <t>https://unmillondemanias.blogspot.com/</t>
  </si>
  <si>
    <t>Despierta ESPAÑA</t>
  </si>
  <si>
    <t>#23CopasDeEuropa#916#</t>
  </si>
  <si>
    <t>Pedro Pinueve Sánchez Castejón es sin lugar a dudas, el peor presidente del gobierno de la historia de España superando a Zapatero (algo que parecía imposible) y el único presidente de la historia no elegido por los ciudadanos. Pero a él se la trae al pairo, quiere postureo.</t>
  </si>
  <si>
    <t>Kiev, Ucrania</t>
  </si>
  <si>
    <t>No hay Madrid de fútbol o baloncesto; 1 camiseta blanca, 1 escudo redondito y 23 Copas de Europa #Tabarnia // Del RM y simpatizante del #RCDE y #UDAlmería</t>
  </si>
  <si>
    <t>Mercedes Ramos 📝</t>
  </si>
  <si>
    <t>Gestor empresas. Estratega macro mercados. Amante del buen vino, buena música y buena vida #economia #mercadosfinancieros #vino #wine #Atleti #musica</t>
  </si>
  <si>
    <t>Como no se puede ser pro IRPH y otros abusos de la banca en Europa y fabricar lavados de imagen a dichas empresas privadas en España "para gobernar"</t>
  </si>
  <si>
    <t>https://www.20minutos.es/noticia/3511559/0/pedro-sanchez-proeuropeo-apoyarse-fuerzas-antieuropeistas-gobernar/?utm_source=twitter.com&amp;utm_medium=socialshare&amp;utm_campaign=mobile_amp</t>
  </si>
  <si>
    <t>Las Palmas de G.C. Spain</t>
  </si>
  <si>
    <t>Periodista/Journalist 📰. Cursando Máster en Comunicación Corporativa y otras cosas 📍✨ Retuiteo mucho. No le des vueltas. Tampoco me gustan las rotondas 😎</t>
  </si>
  <si>
    <t>https://twitter.com/Mertxeramos</t>
  </si>
  <si>
    <t>Marco António</t>
  </si>
  <si>
    <t>"No se puede ser proeuropeo y apoyarse en fuerzas antieuropeistas para gobernar" Pedro Sánchez a dar a dica a Pedro Sánchez. RT @libertaddigital: Pedro Sánchez dice que PP y Cs "no pueden ser pro europeos" y apoyarse en VOX</t>
  </si>
  <si>
    <t>PSOE</t>
  </si>
  <si>
    <t>Lisboa, Portugal</t>
  </si>
  <si>
    <t>Master student in International Economics and European Studies, ISEG. Bachelor in Political Science, UMinho.</t>
  </si>
  <si>
    <t>http://instagram.com/marcoantoniodsm</t>
  </si>
  <si>
    <t>Jose Poveda</t>
  </si>
  <si>
    <t>Pedro Sanchez se queja del PP y Ciudadanos por apoyarse en antieuropeistas para gobernar en Andalucia. Nada de autocritica al sustentarse en golpistas catalanes y batasunos para mantenerse en el poder...ve la paja en el ojo ajeno pero no la viga que tiene en el trasero!</t>
  </si>
  <si>
    <t>Un gobierno por la igualdad. Por la justicia social. Para devolver la dignidad a las instituciones. Hacemos un país mejor. #somoslaizquierda</t>
  </si>
  <si>
    <t>http://www.psoe.es</t>
  </si>
  <si>
    <t>Las Palmas de Gran Canaria</t>
  </si>
  <si>
    <t>Veterinary Microbiology Prof, PhD. Epidemiology and Preventive Medicine Research Group. ULPGC</t>
  </si>
  <si>
    <t>José Luis López</t>
  </si>
  <si>
    <t>Los únicos que lo discuten son Pedro Sánchez &amp; friends. RT @AndresGReche: De verdad, el principal problema de este país es discutir ahora si queremos República o Monarquía constitucional? Gensanta!</t>
  </si>
  <si>
    <t>https://twitter.com/AndresGReche/status/1071168621618085888</t>
  </si>
  <si>
    <t>Ingeniero Industrial experto en Informática de Gestión Empresarial. Me educaron en el espíritu emprendedor. Aragonés y por ello perseverante</t>
  </si>
  <si>
    <t>Felipe G Coto</t>
  </si>
  <si>
    <t>Es hora de actuar contra la "inaceptable" tasa de paro de jóvenes que hay en España, y por eso el Consejo de Ministros aprobó este viernes el Plan de Empleo Juvenil. #CMin ⁦@PSOE⁩ ⁦@sanchezcastejon⁩ ⁦@desdelamoncloa⁩</t>
  </si>
  <si>
    <t>https://www.eleconomista.es/economia/noticias/9570197/12/18/Pedro-Sanchez-Existe-una-barrera-real-practicamente-insuperable-para-muchos-jovenes.html</t>
  </si>
  <si>
    <t>Asturias, Spain</t>
  </si>
  <si>
    <t>Doctor Ing. Minas por @UniOvi. Desde el #carbón a las nuevas energías en #Hunosa. Secretario de #Energía de @FSA_PSOE. Aeromodelista, fan de RRHH y fotografía</t>
  </si>
  <si>
    <t>http://linkedin.com/in/felipe-gonzález-coto-a5a10b10</t>
  </si>
  <si>
    <t>eldiario.es</t>
  </si>
  <si>
    <t>Periodismo a pesar de todo. Colabora: Hazte socio -- http://www.eldiario.es/socios/alta.html</t>
  </si>
  <si>
    <t>http://www.eldiario.es</t>
  </si>
  <si>
    <t>Los incidentes y las posibles víctimas del partido River-Boca tendrán dos responsables: Florentino Pérez y Pedro Sánchez, que han usado este partido para esconder su ineficacia y problemas internos. Y ambos deberían estar mañana en la puta calle.</t>
  </si>
  <si>
    <t>Cristóbal Delatorre</t>
  </si>
  <si>
    <t>http://dlvr.it/Qt81XF</t>
  </si>
  <si>
    <t>https://pbs.twimg.com/media/Dt5vgiCVAAA50_K.jpg</t>
  </si>
  <si>
    <t>Soy Republicano y de Podemos ✊ 💜. Soy alérgico al PP-Cs-Psoe.</t>
  </si>
  <si>
    <t>Barth</t>
  </si>
  <si>
    <t>Sánchez: "No se puede ser proeuropeo y apoyarse en fuerzas antieuropeístas para gobernar"  vía @20m</t>
  </si>
  <si>
    <t>https://www.20minutos.es/noticia/3511559/0/pedro-sanchez-proeuropeo-apoyarse-fuerzas-antieuropeistas-gobernar/?utm_source=twitter.com&amp;utm_medium=socialshare&amp;utm_campaign=mobile_web</t>
  </si>
  <si>
    <t xml:space="preserve">España </t>
  </si>
  <si>
    <t>Llambrion</t>
  </si>
  <si>
    <t>Pedro Sánchez, eres un genio del marketing (inverso) RT @hospederiavc: Éstas eran las colas esta mañana para acceder a la basílica</t>
  </si>
  <si>
    <t>https://twitter.com/hospederiavc/status/1071153677245796352</t>
  </si>
  <si>
    <t>pic.twitter.com/Ik4oKNNkBZ</t>
  </si>
  <si>
    <t xml:space="preserve">León, Sevilla y Tabarnia </t>
  </si>
  <si>
    <t>Todo lo que me sucede es bueno y absolutamente necesario (Epícteto) / El Estado no es la solución. El Estado es el problema / Todo impuesto es un robo</t>
  </si>
  <si>
    <t>Mejor por 30 monedas, Pedro</t>
  </si>
  <si>
    <t>KARLA GINOCCHIO MUTO</t>
  </si>
  <si>
    <t>Wow!!!!! Y Feliz día Pedro Sánchez Farfán ae cuwnto te gusta esta profesión de locutor!!!</t>
  </si>
  <si>
    <t>https://www.facebook.com/1425095572/posts/10218239676689747/</t>
  </si>
  <si>
    <t>PERU</t>
  </si>
  <si>
    <t>CONSECIONARIA - RADIO ESTRELLA - FILIAL CHIMBOTE</t>
  </si>
  <si>
    <t>Antonio Alcántara</t>
  </si>
  <si>
    <t>Pedro Sánchez: "Declinaría una invitación al palco del Bernabéu"  Atentos a mañana, que ahora Pedro Sánchez dice que si, que irá al palco del Santiago Bernabéu. Es un hombre de palabra.</t>
  </si>
  <si>
    <t>https://www.lainformacion.com/deporte/pedro-sanchez-declinaria-una-invitacion-al-palco-del-bernabeu_JpGOGTl8TDZ7RF38KHhI96/?utm_source=twitter.com&amp;utm_medium=socialshare&amp;utm_campaign=desktop&amp;via=la_informacion</t>
  </si>
  <si>
    <t>Abuelo de 5 nietas y 2 nietos. Jubilado. Orgulloso de ser de Jerez de la Frontera, del Ramiro y del Estu. El de la tele, un impostor.</t>
  </si>
  <si>
    <t>Pedro @sanchezcastejon asegura que presentará unos #PGE2019 con tres objetivos: que sean sostenibles desde el punto social, medioambiental y financiero. #PESCongress2018 #PESinLisbon #ProgressiveEurope</t>
  </si>
  <si>
    <t>ni aquí ni allá.</t>
  </si>
  <si>
    <t>Pedro Sánchez utiliza el comodín de la llamada, con el comodín del público no se atreve.</t>
  </si>
  <si>
    <t>al este del oeste</t>
  </si>
  <si>
    <t>maria Rosa</t>
  </si>
  <si>
    <t>Pedro Sánchez ha ofrecido a Torra y a Junqueras el acuerdo de que si apoyan los presupuestos, retirarán de toda Cataluña a la Guardia Civil y a la Policía Nacional. Ante esta barbaridad y traición, pásalo para que toda España sepa hasta que punto es capaz de ceder este mísera.</t>
  </si>
  <si>
    <t>Entre España y EEUU</t>
  </si>
  <si>
    <t>Romi@Romi9432 🌺🌻🌹</t>
  </si>
  <si>
    <t>Eso lo piensas y dices tú.A Pedro Sanchez nadie le ha elegido ,como desgobernante,y ahi está.Nunca te hemos escuchado,que tiene que haber elecciones para que sea  politico no tienes nada,eres un anti-sistema. RT @Pablo_Iglesias_: “Una mayoría de españoles preferiría que España fuese una república y desea, además, que se celebre un referéndum para decidirlo. Eso es lo que se desprende de la última encuesta que YouGov ha elaborado en exclusiva para El HuffPost” 👇🏼</t>
  </si>
  <si>
    <t>http://elegido.De
https://twitter.com/Pablo_Iglesias_/status/1071105155255451649
https://www.huffingtonpost.es/2018/12/05/el-48-de-los-espanoles-prefiere-que-espana-sea-una-republica_a_23609576/</t>
  </si>
  <si>
    <t>Mejor hoy que,mañana 🌹🏵🌺🌷</t>
  </si>
  <si>
    <t>J</t>
  </si>
  <si>
    <t>MRosa_🐾🇪🇸</t>
  </si>
  <si>
    <t>Non é o mesmo chamar o Demo, que velo vir.</t>
  </si>
  <si>
    <t>AlfonFisio</t>
  </si>
  <si>
    <t>Y no se puede ser proespañol y gobernar apoyándose en fuerzas antiespañolistas  vía @20m</t>
  </si>
  <si>
    <t>Burgos.al frio lo llamo fresco</t>
  </si>
  <si>
    <t>RETOGENES El Caraunio</t>
  </si>
  <si>
    <t>Pedro Sánchez también hará huelga de hambre en solidaridad con los presos  via @ESdiario_com</t>
  </si>
  <si>
    <t>https://www.esdiario.com/151059239/Pedro-Sanchez-tambien-hara-huelga-de-hambre-en-solidaridad-con-los-presos.html</t>
  </si>
  <si>
    <t>Norte de I-span-ya.30.10.2018</t>
  </si>
  <si>
    <t>La vida es muy http://peligrosa.No por las personas que hacen el mal,sino por los que se sientan a ver lo que pasa.</t>
  </si>
  <si>
    <t>Santiago Casero Gonz</t>
  </si>
  <si>
    <t>Efecto mariposa. Pedro Sánchez acude a la reunión del G20 en Buenos Aires, a causa de la cual se pospone el partido de la Copa Libertadores, que vuelve a aplazarse por las lluvias, culminando unos días después en los desgraciados sucesos que conocemos. ¿Casualidad? No creo.</t>
  </si>
  <si>
    <t>Evalúo por estándares o escribo: las dos cosas a la vez, no puedo. Gané un concurso de christmas en EGB. ¡Con qué frecuencia preferimos la verdad a la realidad!</t>
  </si>
  <si>
    <t>https://es.wikipedia.org/wiki/Santiago_Casero</t>
  </si>
  <si>
    <t>https://okdiario.com/espana/cataluna/2018/12/08/sanchez-ofrece-separatistas-reconocer-cataluna-como-nacion-cambio-del-si-presupuestos-3439890</t>
  </si>
  <si>
    <t>http://ver.20m.es/jw02d2</t>
  </si>
  <si>
    <t>Aquí o le invaden el Falcon o Pedro Sánchez no mueve el culo.</t>
  </si>
  <si>
    <t>Victor Regueiro</t>
  </si>
  <si>
    <t>Prioridades de Pedro Sánchez: -Pactar lo que sea con los separatistas para seguir en el poder -Pactar lo que sea con los separatistas para seguir en el poder -Pactar lo que sea con los separatistas para seguir en el poder -🤣🤣🤣🤣🤣🤣 Ah pactar pactar pactar separratas golpistas</t>
  </si>
  <si>
    <t>https://twitter.com/sanchezcastejon/status/1071362737614274560</t>
  </si>
  <si>
    <t>https://pbs.twimg.com/media/Dt4-Gj0W4AEDOyi.jpg</t>
  </si>
  <si>
    <t>20minutos.es</t>
  </si>
  <si>
    <t>Cuenta oficial de 20minutos, el medio social y ciudadano. Información, análisis y contacto personal con los lectores las 24 horas del día http://facebook.com/20minutos.es</t>
  </si>
  <si>
    <t>https://www.20minutos.es/</t>
  </si>
  <si>
    <t>Libertad FM radio</t>
  </si>
  <si>
    <t>El presidente del Gobierno y líder del PSOE, Pedro Sánchez, alertó hoy a la familia socialdemócrata del "malestar" ciudadano de cara a las eleccio...</t>
  </si>
  <si>
    <t>Guadalajara, España</t>
  </si>
  <si>
    <t>https://libertadfm.es/2018/12/08/sanchez-alerta-de-la-extrema-derecha-ante-las-europeas-y-pide-hacer-mas/</t>
  </si>
  <si>
    <t>Salamanca</t>
  </si>
  <si>
    <t>Cuenta oficial de Libertad FM, la radio nacional generalista basada en el entretenimiento y la información.</t>
  </si>
  <si>
    <t>http://www.LibertadFM.es</t>
  </si>
  <si>
    <t>HotDog News!</t>
  </si>
  <si>
    <t>El bombazo que lanzó Pedro Sánchez sobre las elecciones generales</t>
  </si>
  <si>
    <t>http://epmundo.com/2018/el-bombazo-que-lanzo-pedro-sanchez-sobre-las-elecciones-generales/?utm_source=twitter&amp;utm_medium=social&amp;utm_campaign=ReviveOldPost</t>
  </si>
  <si>
    <t>https://pbs.twimg.com/media/Dt5sm23XcAASVFG.jpg</t>
  </si>
  <si>
    <t>Saborea la noticia desde una perspectiva diferente.</t>
  </si>
  <si>
    <t>Maria Luisa Bravo</t>
  </si>
  <si>
    <t>Pedro Sánchez alerta de la extrema derecha ante las europeas y pide "hacer más"</t>
  </si>
  <si>
    <t>Madre, venezolana y luchadora!! Queriendo un mejor futuro para mi baby, amen!😇😝</t>
  </si>
  <si>
    <t>ANTONIO R-HAUPOLD</t>
  </si>
  <si>
    <t>http://dlvr.it/Qt7z0H</t>
  </si>
  <si>
    <t>https://pbs.twimg.com/media/Dt5r3MHU0AAjm-2.jpg</t>
  </si>
  <si>
    <t>puerto de santa maria</t>
  </si>
  <si>
    <t>PRESIDENTE AMEMAB (mercado alternativo bursatil) EXPRESIDENTE FACONAUTO. HARVARD BUSINESS SCHOOL AMP187.Dtor Filosofia D, auto, gintonic,Rives,niños cardiopatas</t>
  </si>
  <si>
    <t>http://www.aemab.es</t>
  </si>
  <si>
    <t>veudecatalans</t>
  </si>
  <si>
    <t>Los silencios de Pedro Sánchez cuando están pasando cosas graves en Cataluña empiezan a dar mucho que pensar. Y no precisamente bueno. Un Presidente no puede permitir lo que ocurre.</t>
  </si>
  <si>
    <t>RT no significa aprobaciónGrupo de profesionales catalanes cuyo objetivo es dar voz a la mayoría de ciudadanos de Cataluña que se oponen al proceso separatista.</t>
  </si>
  <si>
    <t>Libertad Digital</t>
  </si>
  <si>
    <t>Pedro Sánchez dice que PP y Cs "no pueden ser pro europeos" y apoyarse en VOX</t>
  </si>
  <si>
    <t>http://dlvr.it/Qt7yvj</t>
  </si>
  <si>
    <t>Noticias y opinión en la red. Escúchanos en @esRadio y léenos también en @libre_mercado @ChicRevista @LoDeCultura</t>
  </si>
  <si>
    <t>http://www.libertaddigital.com</t>
  </si>
  <si>
    <t>EP | Mundo</t>
  </si>
  <si>
    <t>► El bombazo que lanzó Pedro Sánchez sobre las elecciones generales</t>
  </si>
  <si>
    <t>http://epmundo.com/2018/el-bombazo-que-lanzo-pedro-sanchez-sobre-las-elecciones-generales/</t>
  </si>
  <si>
    <t>https://pbs.twimg.com/media/Dt5q5F_XQAAn2pC.jpg</t>
  </si>
  <si>
    <t>Noticias del Mundo. Cadena de Noticias @EP_Mundo</t>
  </si>
  <si>
    <t>http://epmundo.com</t>
  </si>
  <si>
    <t>Anti-Podemos</t>
  </si>
  <si>
    <t>Hemeroteca: El vídeo de las negociaciones secretas del Cum Fraude con ERC donde pide su apoyo a cambio de su ayuda para que Cataluña se independice.</t>
  </si>
  <si>
    <t>https://www.periodistadigital.com/periodismo/periodismo-online/2018/05/28/el-video-de-las-asquerosas-negociaciones-secretas-del-psoe-con-erc-que-hunde-a-pedro-sanchez.shtml</t>
  </si>
  <si>
    <t>Plataforma de españoles y venezolanos a los que no nos gusta Podemos.</t>
  </si>
  <si>
    <t>https://www.facebook.com/pages/Espa%C3%B1oles-y-Venezolanos-Anti-Podemos/885396501484393?sk=timeline</t>
  </si>
  <si>
    <t>Real Sportin9 de Gijón 🇪🇸</t>
  </si>
  <si>
    <t>Pedro Sánchez ‘esconde’ que fue consejero de la Asamblea de Caja Madrid con Blesa</t>
  </si>
  <si>
    <t>https://www.elconfidencial.com/espana/2014-07-10/pedro-sanchez-esconde-que-fue-consejero-de-la-asamblea-de-caja-madrid-con-blesa_159568/</t>
  </si>
  <si>
    <t>Asturias, España</t>
  </si>
  <si>
    <t>REAL SPORTING DE GIJÓN, EQUIPO DE ASTURIAS. QUINI, ETERNO 9. SIEMPRE SPORTING. SÓLO SPORTING. 🇪🇸 #QuiniEterno9 #SiempreSporting #FernandezVeteYa</t>
  </si>
  <si>
    <t>http://dlvr.it/Qt7y00</t>
  </si>
  <si>
    <t>https://pbs.twimg.com/media/Dt5qB1gU4AA19ul.jpg</t>
  </si>
  <si>
    <t>Karcel-Seta 🦅 🇪🇸 🇺🇲 🇨🇵 🇮🇱</t>
  </si>
  <si>
    <t>España 🇪🇸🇪🇸</t>
  </si>
  <si>
    <t>Facha recalcitrante. Cuando la mugre golpista, batasuna o progre comunisto-sociata me llama FACHA, me llena de orgullo</t>
  </si>
  <si>
    <t>Marcos</t>
  </si>
  <si>
    <t>Pedro Sánchez ha dejado a una parte de España a su suerte, permitiendo que comandos terroristas causen disturbios y molestias continuas a los ciudadanos. Debe dimitir por su inacción.🤔🤨😡 RT @arturelpayaso2: Los CDR no tenían suficiente con cortar la AP-7 en dirección a l'Ampolla con el apoyo de los mossos: también han cortado la Nacional en la misma dirección con el objetivo de hacer el mayor daño posible a la gente.</t>
  </si>
  <si>
    <t>Nunca hay que perder la capacidad de sorprenderse por lo que ocurre en este mundo</t>
  </si>
  <si>
    <t>Lindazaury@hotmail.com</t>
  </si>
  <si>
    <t>Aquí tienen q estar totalmente prohibidas las manifestaciones, ahora tienen los radicales a Cataluña paralizada y los mosos con las manos atadas, ¿Pero q está pasando? PEDRO SÁNCHEZ DIMISION, España le queda muy grande, y lo q es peor sólo España le importa una mierda.</t>
  </si>
  <si>
    <t>MK1977</t>
  </si>
  <si>
    <t>Pedro Sanchez quien hoy gobierna España gracias a los votos de los partidos independentistas anti españoles dice en foro de Lisboa "no se puede ser proeuropeo y apoyarse en fuerzas antieuropeistas para gobernar". El no es un cara dura. Es lo siguiente</t>
  </si>
  <si>
    <t>anti-izquierda de cualquier nivel.</t>
  </si>
  <si>
    <t>EFE Murcia</t>
  </si>
  <si>
    <t>El presidente nacional del PP, Pablo Casado, ha dicho hoy en un acto del partido en Murcia que el presidente del Gobierno, Pedro Sánchez, debe aplicar cuanto antes el artículo 155 de la Constitución en Cataluña.</t>
  </si>
  <si>
    <t>https://pbs.twimg.com/media/Dt5osxJXgAEUqzw.jpg</t>
  </si>
  <si>
    <t>Murcia, España</t>
  </si>
  <si>
    <t>Delegación en Murcia de la Agencia EFE (@EFEnoticias).</t>
  </si>
  <si>
    <t>http://www.efe.com/</t>
  </si>
  <si>
    <t>NotiAdictos</t>
  </si>
  <si>
    <t>https://pbs.twimg.com/media/Dt5ohmEXcAEdV2t.jpg</t>
  </si>
  <si>
    <t>Adictos a la información que realmente merece tu atención.</t>
  </si>
  <si>
    <t>Taboo 🇪🇸</t>
  </si>
  <si>
    <t>Alguien sabe que es de Pedro Sánchez??..por favor decidle q hay un golpe de estado en Cataluña..que cuando él pueda se pase por ayí o en su defecto mande a la Bego..</t>
  </si>
  <si>
    <t>Español en España una profesión de alto riesgo hoy en día,amante de mi cultura y de mis tradiciones.🍀💚.</t>
  </si>
  <si>
    <t>Manuel López</t>
  </si>
  <si>
    <t>Sánchez urge al socialismo europeo a hacer "mucho más" para combatir a la ultraderecha</t>
  </si>
  <si>
    <t>https://www.elconfidencial.com/espana/2018-12-08/pedro-sanchez-lisboa-congreso-pes-antonio-costa-hacer-mucho-mas-ultraderecha_1693226/?utm_source=facebook&amp;utm_medium=social&amp;utm_campaign=ECFindeAutomatico</t>
  </si>
  <si>
    <t>http://dlvr.it/Qt7wlL</t>
  </si>
  <si>
    <t>https://pbs.twimg.com/media/Dt5oN8LU4AI8RI-.jpg</t>
  </si>
  <si>
    <t>Islas Canarias, España</t>
  </si>
  <si>
    <t>Ray McCoy</t>
  </si>
  <si>
    <t>#OTDirecto8DIC #InmaculadaConcepcion #FelizSabado #PSOE Los franquistas y los que llaman a Hitler "Don Adolfo" te dicen que en el PSOE son de izquierdas, comunistas. Entonces va Pedro Sánchez y dice que el PSOE es muy pro-europeísta.. Lo entendéis ya???</t>
  </si>
  <si>
    <t>El mundo gira en torno a un muro que separa clases. Di que no existe ese muro, y la guerra está garantizada'.</t>
  </si>
  <si>
    <t>Carmen Iglesia</t>
  </si>
  <si>
    <t>Pedro Sánchez, alertó hoy a la familia socialdemócrata del "malestar" ciudadano de cara a las elecciones europeas y del auge de la extrema derecha como uno de sus "síntomas", al tiempo que pidió autocrítica para combatirlo. "Tenemos que hacer mucho más", dijo Sánchez 👎 RT @EFEnoticias: Sánchez alerta de la extrema derecha ante las europeas y pide "hacer más"</t>
  </si>
  <si>
    <t>https://twitter.com/EFEnoticias/status/1071406597178564608
http://bit.ly/2AYEnbK</t>
  </si>
  <si>
    <t>"Nada de lo humano me es ajeno"</t>
  </si>
  <si>
    <t>majohu</t>
  </si>
  <si>
    <t>https://okdiario.com/economia/2018/12/08/italia-credibilidad-presupuestos-pedro-sanchez-denunciar-ue-trato-discriminatorio-3437675#.XAvSC2dp7kQ.twitter</t>
  </si>
  <si>
    <t>S Garcia</t>
  </si>
  <si>
    <t>Vergonzoso lo que pasa en la AP-7. El gobierno de Pedro Sánchez debe tomar el control de los Mosos y aplicar el 155 ya.</t>
  </si>
  <si>
    <t>En la oscuridad de mi ignorancia busco la luz de la sabiduría con la brújula de mi curiosidad. Cualquier chispa, destello o relámpago pueden ser su preludio.</t>
  </si>
  <si>
    <t>https://pinterest.com/menttegato/</t>
  </si>
  <si>
    <t>Pablo Domínguez</t>
  </si>
  <si>
    <t>Pues al final Pedro Sánchez deja la misa de TVE los domingos y otros nos quieren quitar de la tele el salto de la reja de El Rocío o la Madrugá de Sevilla para todos los andaluces que no acedemos a la tv local y que no podemos ir. No sé yo quien respeta más lo nuestro...</t>
  </si>
  <si>
    <t>Granada, España</t>
  </si>
  <si>
    <t>«Gratis habéis recibido, dad gratis» (Mt 10,8) Ciencias Políticas y de la Administración UGR.</t>
  </si>
  <si>
    <t>Feder Quintana Glez</t>
  </si>
  <si>
    <t>Pedro Sánchez reconocerá Cataluña como “nación” a cambio de que los independentistas acepten los Presupuestos • El…</t>
  </si>
  <si>
    <t>https://www.elmatinal.com/actualidad/pedro-sanchez-reconocera-cataluna-como-nacion-a-cambio-de-que-los-independentistas-acepten-los-presupuestos/</t>
  </si>
  <si>
    <t>Gran Ca</t>
  </si>
  <si>
    <t>POR ESPAÑA ENTERA...</t>
  </si>
  <si>
    <t>Isaac Pradel Leal</t>
  </si>
  <si>
    <t>Pedro Sánchez @Pdro_Snchez pulverizando récords de zurnomalidades por minuto, tampoco creo que se pueda ser presidente del gobierno con los votos de quienes pretenden auto-excluir a parte de España de la U.E., ERC, PdCAT, etc. Pedro Sánchez es el timo del billete de 30 Euros...</t>
  </si>
  <si>
    <t xml:space="preserve">Alicante, España. </t>
  </si>
  <si>
    <t>Economista trilingüe y un podólatra de la re-hostia!!! aspiro a jugar con los piececitosss bonitosssss de señoras estupendas...</t>
  </si>
  <si>
    <t>http://www.kojackadasvarias.blogspot.com</t>
  </si>
  <si>
    <t>cnestevez</t>
  </si>
  <si>
    <t>Cuanto dinero islamita hay detrás de la asistencia de Pedro Sánchez a la conferencia de Marrakech para firmar el Pacto sobre Migración? @vox_es, @Santi_ABASCAL , @voxnoticias_es,@diegoaaestevez</t>
  </si>
  <si>
    <t>Amparo Blay Alabarta</t>
  </si>
  <si>
    <t>Pedro Sánchez diciendo que no se pacte con VOX, usted que pacta con terroristas, hay que joderse.</t>
  </si>
  <si>
    <t>La libertad ni se compra ni se vende, o se tiene o no se tiene.</t>
  </si>
  <si>
    <t>Ballymena</t>
  </si>
  <si>
    <t>UDEC - Andújar</t>
  </si>
  <si>
    <t>Señor D. Pedro Sánchez, traiga EMPLEO A ESPAÑA. NO PRESUNTA INSEGURIDAD. UDEC-Sociales. Juan Fco. Córdoba Rguez.</t>
  </si>
  <si>
    <t>Y aunque todos seamos caballeros, va mucha diferencia de los unos a los otros'. (Cervantes)</t>
  </si>
  <si>
    <t>PARTIDO "UNIDAD DE CENTRO". Pte. Jacinto Fernández. Andujar: Juan Córdoba Rguez.</t>
  </si>
  <si>
    <t>http://udec.es</t>
  </si>
  <si>
    <t>Pamplona, España</t>
  </si>
  <si>
    <t>juan arolas</t>
  </si>
  <si>
    <t>«Ya no existe la garantía de que si se estudia se vaya a tener trabajo. No existe la garantía de que si uno trabaja vaya a recibir un sueldo». Pedro Sánchez desde Lisboa.</t>
  </si>
  <si>
    <t>Clin</t>
  </si>
  <si>
    <t>A Pedro Sánchez se le acaba el tiempo, comienzan a repetirse las llamadas a perder el miedo a la violencia. RT @cronicaglobal: Comín: "Ha llegado la hora, no podemos esperar, ha llegado la hora de pagar el precio, alto, injusto, pero inevitable de nuestra libertad, solo si estamos dispuestos a pagar este precio, seremos libres"</t>
  </si>
  <si>
    <t>Por la Bullarenga rodando.</t>
  </si>
  <si>
    <t>Un Cornellanense en Motril.-Llegué de noche, llovía y no conocía el idioma-. Pío Baroja, irónico escritor del siglo XX, sobre su visita a Motril.</t>
  </si>
  <si>
    <t>http://diccionariomotril.blogspot.com.es/</t>
  </si>
  <si>
    <t>Luis Rudi Alonso</t>
  </si>
  <si>
    <t>Los discípulos de Soros en Europa, Macron y Pedro Sánchez representan falsedad y fiasco todo un FRAUDE hacia el pueblo y la democracia. Hay que echarlos cuanto antes</t>
  </si>
  <si>
    <t>Iván Román (Pinoso)ن</t>
  </si>
  <si>
    <t>https://okdiario.com/economia/2018/12/08/italia-credibilidad-presupuestos-pedro-sanchez-denunciar-ue-trato-discriminatorio-3437675#.XAvQExJ7hqg.twitter</t>
  </si>
  <si>
    <t>Pinoso (Alicante)</t>
  </si>
  <si>
    <t>Pinoso (Alicante) Químico, Tecnólogo en Alimentos. DEA en Q Analítica, Nutrición y Bromatología. MSc Oenology, R&amp;D Chemistry, Envir, Water, Food &amp; Material Sci</t>
  </si>
  <si>
    <t>http://es.linkedin.com/pub/iv%C3%A1n-pablo-rom%C3%A1n-falc%C3%B3/34/4a4/23b</t>
  </si>
  <si>
    <t>Pedro Sánchez alerta del avance de la extrema derecha ante las europeas y reconoce que hay que "hacer mucho más"</t>
  </si>
  <si>
    <t>https://pbs.twimg.com/media/Dt5l4JBWwAEsnAg.jpg</t>
  </si>
  <si>
    <t>https://okdiario.com/economia/2018/12/08/italia-credibilidad-presupuestos-pedro-sanchez-denunciar-ue-trato-discriminatorio-3437675#.XAvPtBku2zU.twitter</t>
  </si>
  <si>
    <t>Jose Antonio Muñoz</t>
  </si>
  <si>
    <t>Pedro Sánchez o das solución a tanta intolerancia o te explotara una revolución que te costara salir del territorio nacional a pedir asilo quien te quiera recoger RT @yosoynaranjito_: Varios conductores se encaran con los CDR encapuchados después de que estos hayan tenido cortada la AP-7 varias horas. Hoy los Mossos no han hecho absolutamente nada, cualquier dia lamentaremos una desgracia. ¡El Ministerio del Interior debería actuar ya!</t>
  </si>
  <si>
    <t>OsquirrínDJ</t>
  </si>
  <si>
    <t>En cualquier nacíón democrática ésto sería PERJURIO y ALTA TRAICIÓN, motivos suficientes para destituir al Presidente del Gobierno Pedro @sanchezcastejon. Pero 🇪🇸España🇪🇸 es diferente. 👇👇</t>
  </si>
  <si>
    <t>La Coruña</t>
  </si>
  <si>
    <t>https://pbs.twimg.com/media/Dt5k1vEX4AAE0MQ.jpg</t>
  </si>
  <si>
    <t>Castilla y León, España</t>
  </si>
  <si>
    <t>Máster en Teatro con TFM. Portavoz Asuntos Menores del @PSOE PLURINACIONAL Me mola mazo salir de copas con los colegas. Fan de KIKO RIVERA. Alcalde a ratos.</t>
  </si>
  <si>
    <t>Luis Rodriguez</t>
  </si>
  <si>
    <t>A que espera Pedro Sánchez y Marlaska para tomar el mando de los Mossos de escuadra a que esperas Pedro Sánchez está cortada la autopista por la calle borroca y los Mossos no actúan por orden de Torras a que esperas Pedro Sánchez no humilles a españa demite ya</t>
  </si>
  <si>
    <t xml:space="preserve">de centro </t>
  </si>
  <si>
    <t>Humanidad Honesta</t>
  </si>
  <si>
    <t>Normal es una marioneta de Pablito el chavista.</t>
  </si>
  <si>
    <t>Manuel</t>
  </si>
  <si>
    <t>Tenezia,Ebiar,Retryon,Ambiares</t>
  </si>
  <si>
    <t>El amor es el único bien que al repartirlo se multiplica. Seamos la luz que ilumine el cambio de paradigma, hacia una Humanidad Honesta.</t>
  </si>
  <si>
    <t>EL MUNDO</t>
  </si>
  <si>
    <t>Pedro Sánchez acusa a PP y Ciudadanos de "apoyar a fuerzas antieuropeístas" para gobernar</t>
  </si>
  <si>
    <t>https://trib.al/LwCH3mK</t>
  </si>
  <si>
    <t>Cuenta oficial de EL MUNDO -YouTube http://bit.ly/2hBbolJ Celebración 40 años de la Constitución (📷EFE)</t>
  </si>
  <si>
    <t>http://www.elmundo.es/</t>
  </si>
  <si>
    <t>Marta</t>
  </si>
  <si>
    <t>Va a ser que no tienen la facilidad que tiene usted de incorporarse y asentarse en un puesto de trabajo , usted, su esposa, familiares etc etc Un monento!!!! Hablamos de trabajar???? Perdón perdon, no pensé con claridad y trabajo y Pedro Sánchez no son compatibles RT @sanchezcastejon: España sufre una tasa inaceptable de paro juvenil y es hora de actuar para solucionarlo. Ayer aprobamos en el #CMin un Plan de Choque por el #EmpleoJoven. Hagamos que España sea por fin un país para las personas jóvenes. Es una cuestión de justicia, pero también de dignidad.</t>
  </si>
  <si>
    <t>Sigo pensando que el dia que madure me caigo del arbol!!!!</t>
  </si>
  <si>
    <t>México</t>
  </si>
  <si>
    <t>Sentido Comum</t>
  </si>
  <si>
    <t>Porque ninguna cadena del "gobierno", dice que Pedro Sánchez tiene butaca en el palco VIP para el partido de lis argentinos????</t>
  </si>
  <si>
    <t>Pedro Sánchez: "España sufre un paro juvenil inaceptable y es hora de solucionarlo"</t>
  </si>
  <si>
    <t>http://bit.ly/2B0S6z6</t>
  </si>
  <si>
    <t>https://pbs.twimg.com/media/Dt5kVkbWwAM2r6Z.jpg</t>
  </si>
  <si>
    <t>https://pbs.twimg.com/media/Dt5kVkjXcAEZpu-.jpg</t>
  </si>
  <si>
    <t>EP | Venezuela</t>
  </si>
  <si>
    <t>https://pbs.twimg.com/media/Dt5kNt1WwAADRYo.jpg</t>
  </si>
  <si>
    <t>Venezuela</t>
  </si>
  <si>
    <t>Noticias de Venezuela y el Mundo en Español. Cadena de Noticias @EP_Mundo Facebook: http://facebook.com/EP.Venezuela</t>
  </si>
  <si>
    <t>http://bit.ly/EP_Venezuela</t>
  </si>
  <si>
    <t>expansioncom</t>
  </si>
  <si>
    <t>https://pbs.twimg.com/media/Dt5kD9aXcAUBhwH.jpg</t>
  </si>
  <si>
    <t>Diario Expansión, líder en información económica. También puedes seguirnos en Facebook http://www.facebook.com/Expansion.com #mercados #economía #empresas</t>
  </si>
  <si>
    <t>http://www.expansion.com</t>
  </si>
  <si>
    <t>Pedro Sánchez acusa a PP y Cs de "apoyar a fuerzas antieuropeístas" para gobernar</t>
  </si>
  <si>
    <t>http://dlvr.it/Qt7smX</t>
  </si>
  <si>
    <t>https://pbs.twimg.com/media/Dt5kA9uU0AE73Sl.jpg</t>
  </si>
  <si>
    <t>Rafael Lorenzo</t>
  </si>
  <si>
    <t>Y Pedro Sánchez a su suegro,...o ya había cerrado el negocio? RT @CastigadorY: El PSOE baraja prohibir los prostíbulos y sancionar a los clientes, a ver cómo le explicáis esto a vuestros compañeros de partido en Andalucía, los cuáles son clientes VIP en los puticlubs de la zona.</t>
  </si>
  <si>
    <t>https://twitter.com/CastigadorY/status/1071146571180453889
https://www.libremercado.com/2018-12-07/el-psoe-baraja-prohibir-los-prostibulos-y-sancionar-a-los-clientes-1276629517/</t>
  </si>
  <si>
    <t>Bilbao, España</t>
  </si>
  <si>
    <t>Bajar eBooks</t>
  </si>
  <si>
    <t>Pedro Sánchez baja Los Intereses Creados porque ¨Kiero kulturra¨</t>
  </si>
  <si>
    <t>http://bajarebooks.org/papyreFB2Select.php?PAPYREID=7027&amp;idinterno=2435</t>
  </si>
  <si>
    <t>Cloud</t>
  </si>
  <si>
    <t>Descarga gratis de eBooks en formato mobi pdf epub</t>
  </si>
  <si>
    <t>http://bajarebooks.org/</t>
  </si>
  <si>
    <t>Noatxell 🇪🇸 ي ن</t>
  </si>
  <si>
    <t>Italia usa la nula credibilidad de los Presupuestos de Sánchez para denunciar en la UE trato discriminatorio  vía @okdiario</t>
  </si>
  <si>
    <t>http://okdiario.com/economia/2018/12/08/italia-credibilidad-presupuestos-pedro-sanchez-denunciar-ue-trato-discriminatorio-3437675</t>
  </si>
  <si>
    <t>No te pongas en el lado malo de un argumento simplemente porque tu oponente se ha puesto en el lado correcto. Baltasar Gracián</t>
  </si>
  <si>
    <t>cristina mardones Pa</t>
  </si>
  <si>
    <t>Vaya programa de la educación de los niños. Que quieren presentar el Pedro Sánchez. Es mejor que deje el cargo mejor. Si no va a salir como presidente. La GENTE no lo quieren.</t>
  </si>
  <si>
    <t>They're off</t>
  </si>
  <si>
    <t>Puigdemont pedirá que se expulse a España de la Unión Europea. Y estos son los que quiere Pedro Sánchez que le apoyen. No creo que haya españoles de bien que voten al PSOE.</t>
  </si>
  <si>
    <t>Madrid - España</t>
  </si>
  <si>
    <t>Madridista - Turfista - Gran lector</t>
  </si>
  <si>
    <t>R Murcia de mi vida</t>
  </si>
  <si>
    <t>Julio Algar es el elegido director deportivo del @realmurciacfsad según informaciones, en las puertas de ha quedado Pedro Cordero porque traía un entrenador con el y Óscar Sánchez que no podría ser inminente su fichaje, primer trabajo hablar jugador x jugador para bajar nómina</t>
  </si>
  <si>
    <t>Murcia, Spain</t>
  </si>
  <si>
    <t>Enterate de las últimas noticias y rumores del Real Murcia de mi vida!!!!! El Club más grande de la historia. Desde la época de Garrido</t>
  </si>
  <si>
    <t>ARREBULLADO</t>
  </si>
  <si>
    <t>Este tío es la polla! Pedro Sánchez acusa a PP y Cs de "apoyar a fuerzas antieuropeístas" para gobernar</t>
  </si>
  <si>
    <t>http://www.elmundo.es/espana/2018/12/08/5c0bc4f6fdddff5da58b4624.html</t>
  </si>
  <si>
    <t>Liberal progresista</t>
  </si>
  <si>
    <t>EFE Noticias</t>
  </si>
  <si>
    <t>Perfil oficial de la Agencia EFE, la primera agencia de noticias en español y la cuarta del mundo. Otros perfiles http://bit.ly/AgenciaEFE</t>
  </si>
  <si>
    <t>http://www.efe.com</t>
  </si>
  <si>
    <t>Samuel Roses</t>
  </si>
  <si>
    <t>Es gracioso que esto lo diga el gobierno de Pedro Sánchez... RT @elconfidencial: El Gobierno carga contra PP y Cs por "arrogarse el derecho a presidir la Junta"</t>
  </si>
  <si>
    <t>https://twitter.com/elconfidencial/status/1071148104362033153
https://www.elconfidencial.com/espana/2018-12-07/gobierno-pp-ciudadanos-derecho-presidir-junta-de-andalucia_1692282/?utm_source=twitter&amp;utm_medium=social&amp;utm_campaign=ECNocheAutomatico</t>
  </si>
  <si>
    <t>Carlos Acosta</t>
  </si>
  <si>
    <t>PEDRO SÁNCHEZ SACRIFICA LA UNIÓN DE ESPAÑA SI LOS NACIONALISTAS APOYAN LOS PRESUPUESTOS GENERALES DEL ESTADO DE 2019</t>
  </si>
  <si>
    <t>https://youtu.be/7yz8j5L5nK0</t>
  </si>
  <si>
    <t>Las embajadas catalanas provocan controversia en el Gobierno de Pedro Sánchez 😯🤔  #Catalunya #España</t>
  </si>
  <si>
    <t>https://bit.ly/2zNhJDA</t>
  </si>
  <si>
    <t>https://pbs.twimg.com/media/Dt5hfeuWkAIS3am.jpg</t>
  </si>
  <si>
    <t>Mercedes Mosquera</t>
  </si>
  <si>
    <t>"De todo menos esperanza ha insuflado Pedro Sánchez en los hogares españoles, pues en apenas seis meses de estancia en La Moncloa como presidente ha hundido las previsiones económicas de los ciudadanos".</t>
  </si>
  <si>
    <t>https://www.esdiario.com/191195313/Sanchez-arruina-la-confianza-economica-de-los-espanoles-en-tiempo-record.html</t>
  </si>
  <si>
    <t>A Coruña, Galicia, España</t>
  </si>
  <si>
    <t>Especialista Universitaria en Protocolo, Comunicación e Imagen Corporativa. Una asturiana ESFP [Extrovertida, Sensorial, Emocional (Feeling), Perceptiva]</t>
  </si>
  <si>
    <t>https://m.facebook.com/?_rdr#!/mercedes.mosquerabango.7?ref=bookmark</t>
  </si>
  <si>
    <t>Satanás</t>
  </si>
  <si>
    <t>más silencios @Vzaino1 por poner noticias sobre Pedro Sánchez, así se las gastan.</t>
  </si>
  <si>
    <t>https://pbs.twimg.com/media/Dt5g2R4WwAIGbRJ.jpg</t>
  </si>
  <si>
    <t>Nací para ser pirata. mi ocupación: buscar nuevos caminos(innovar)</t>
  </si>
  <si>
    <t>https://twitter.com/sanchezcastejon/status/1071108859635351552</t>
  </si>
  <si>
    <t>América Hoy</t>
  </si>
  <si>
    <t>pic.twitter.com/FCFmDK2ovf</t>
  </si>
  <si>
    <t>http://dlvr.it/Qt7qXl</t>
  </si>
  <si>
    <t>https://pbs.twimg.com/media/Dt5gSpbUUAEUBoC.jpg</t>
  </si>
  <si>
    <t>Sur de la Florida</t>
  </si>
  <si>
    <t>Aca y ahora, ultimas noticias. Cuando ya conoces las noticias, nosotros te contamos la verdad. Periodico Hispano Lider en el S de la Florida.</t>
  </si>
  <si>
    <t>http://www.americahoy.net</t>
  </si>
  <si>
    <t>SuperVeraz!</t>
  </si>
  <si>
    <t>https://pbs.twimg.com/media/Dt5gNEGX4AA6LZN.jpg</t>
  </si>
  <si>
    <t>Llenamos tu línea de tiempo con información relevante, actualizada y verificada.</t>
  </si>
  <si>
    <t>Ciudadanos Cantoria</t>
  </si>
  <si>
    <t>❓ ¿Qué es el #Sanchismo? 📚 Según el #DiccionarioPolítico, dícese de la corriente política cuya única finalidad es llegar al poder a cualquier precio. 👤 Su fundador, Pedro Sánchez, optó por podemizarse y legitimar a aquellos que quieren romper el país.</t>
  </si>
  <si>
    <t>https://pbs.twimg.com/media/Dt5fyvnXgAEq3dn.jpg</t>
  </si>
  <si>
    <t>Perfil oficial de @CiudadanosCs en #Cantoria. También estamos en Facebook 📲🍊</t>
  </si>
  <si>
    <t>ALFREDO CABAL</t>
  </si>
  <si>
    <t>A ver... Índice sistemático La Constitución española de 1978. Título I. De los derechos y deberes fundamentales Capítulo segundo. Derechos y libertades Ver...</t>
  </si>
  <si>
    <t>https://www.lavanguardia.com/politica/20181206/453401347493/pedro-sanchez-constitucion-reformar-igualdad-de-genero.html</t>
  </si>
  <si>
    <t>GIJON</t>
  </si>
  <si>
    <t>Una nueva situación, una nueva actitud, una nueva vida...</t>
  </si>
  <si>
    <t>http://facebook.com/alfredo.cabal</t>
  </si>
  <si>
    <t>A Pedro Sánchez le importa más un partido de fútbol entre dos equipos argentinos. Los conductores de la AP-7, contra los CDR vía @cronicaglobal</t>
  </si>
  <si>
    <t>pic.twitter.com/G3A9Dj7Idz</t>
  </si>
  <si>
    <t>https://cronicaglobal.elespanol.com/politica/cdr-ap-7-conductores-corte_205521_102.html</t>
  </si>
  <si>
    <t>Begoña Íñiguez</t>
  </si>
  <si>
    <t>Pedro Sánchez junto a Antonio Costa en el Congreso de los Socialistas europeos que se clausura dentro de unos minutos en Lisboa # ⁦@sanchezcastejon⁩ # ⁦@antoniocostapm⁩</t>
  </si>
  <si>
    <t>https://pbs.twimg.com/media/Dt5fcmsWsAAgKkb.jpg</t>
  </si>
  <si>
    <t>Europa Press TV</t>
  </si>
  <si>
    <t>Corresponsal en Portugal de la Cadena Cope y La Voz de Galicia</t>
  </si>
  <si>
    <t>DaniRF</t>
  </si>
  <si>
    <t>Pedro Sánchez, o el arte de legislar lo ya legislado. Qué inútil macho. RT @sanchezcastejon: Nuestra Constitución debe reconocer a las personas con #discapacidad como ciudadanos libres e iguales. Ese es el objetivo del Anteproyecto de reforma del art. 49 aprobado hoy en el #CMin. La dignidad y los derechos de este colectivo han de estar reflejados en nuestra Carta Magna.</t>
  </si>
  <si>
    <t>Twitter oficial de Europa Press Televisión, la sección de informativos de la agencia de noticias privada líder en España | YouTube: https://goo.gl/EzlxyC</t>
  </si>
  <si>
    <t>http://www.europapress.tv</t>
  </si>
  <si>
    <t>Muy al sur de todo.</t>
  </si>
  <si>
    <t>Del Madrid y de izquierdas....</t>
  </si>
  <si>
    <t>DADDY MOU ®</t>
  </si>
  <si>
    <t>Que dicen los CDR, terroristas de Torra y Pedro Sánchez, que cortan la AP7 de forma indefinida. Se va a liar.</t>
  </si>
  <si>
    <t>Madridista y Mourinhista. Hala Madrid y nada más!. 'Lo que piensen de mi, no es asunto mío' (Wayne Dyer)</t>
  </si>
  <si>
    <t>Isabel</t>
  </si>
  <si>
    <t>Culé por lógica</t>
  </si>
  <si>
    <t>SI NO HAY INCIDENTES: Tanto para el Real Madrid y para Florentino Pérez. SI HAY INCIDENTES: Culpa de Carmena y de Pedro Sánchez. Está todo inventado. #Libertadores2018 #RiverBoca</t>
  </si>
  <si>
    <t>Pseudoculé'. No te tomes muy en serio todo lo que digo. BARÇA - MESSI - PEP.</t>
  </si>
  <si>
    <t>Voyager</t>
  </si>
  <si>
    <t>Pedro Sánchez, el presidente de la mentira. #FelizSábado  vía @iberopost</t>
  </si>
  <si>
    <t>https://www.iberopost.com/2018/09/pedro-sanchez-el-presidente-de-la.html</t>
  </si>
  <si>
    <t>Interstellar space</t>
  </si>
  <si>
    <t>Políticamente incorrecto. La realidad ante los ojos de todos.</t>
  </si>
  <si>
    <t>http://voyager.jpl.nasa.gov</t>
  </si>
  <si>
    <t>Angélica Pulido</t>
  </si>
  <si>
    <t>La seguridad pública es una competencia del Estado. Pedro Sánchez y su gobierno deben cesar en su política de blanqueamiento de la violencia independentista catalana Torra se pone del lado de los violentos  vía @elmundoes</t>
  </si>
  <si>
    <t>https://www.elmundo.es/opinion/2018/12/08/5c0abaebfdddff0f1a8b45d3.html</t>
  </si>
  <si>
    <t>La Razón</t>
  </si>
  <si>
    <t>MONTESQUIEU-1956</t>
  </si>
  <si>
    <t>https://okdiario.com/economia/2018/12/08/italia-credibilidad-presupuestos-pedro-sanchez-denunciar-ue-trato-discriminatorio-3437675#.XAvIHCLSy-s.facebook</t>
  </si>
  <si>
    <t>Cuenta oficial del diario LA RAZÓN. RT y HT no significan necesariamente acuerdo. http://facebook.com/larazon.es http://instagram.com/larazon.es/</t>
  </si>
  <si>
    <t>http://www.larazon.es</t>
  </si>
  <si>
    <t>EUROPA-ESPAÑA.-</t>
  </si>
  <si>
    <t>POR LA LIBERTAD INDIVIDUAL Y ECONÓMICA.NO A LO POLÍTICAMENTE CORRECTO.BUSCANDO SIEMPRE LA VERDAD.DERECHO Y CRIMINOLOGÍA.</t>
  </si>
  <si>
    <t>http://www.sajimes.blogspot.com</t>
  </si>
  <si>
    <t>https://okdiario.com/economia/2018/12/08/italia-credibilidad-presupuestos-pedro-sanchez-denunciar-ue-trato-discriminatorio-3437675#.XAvIFs7RkL4.twitter</t>
  </si>
  <si>
    <t>Ciudad Real Digital</t>
  </si>
  <si>
    <t>Ciudad Real Digital | Noticias | Pedro Sánchez: "Las víctimas han sido y son el bastión moral de nuestras libertades"</t>
  </si>
  <si>
    <t>https://ciudadrealdigital.es/noticias/52350/Pedro/Sanchez/Las/victimas/han/sido/y/son/el/bastion/moral/de/nuestras/libertades</t>
  </si>
  <si>
    <t>Desde el 2013 con toda la información para el ciudadano de Ciudad Real y provincia. Actualidad, cultura y mucho cine.</t>
  </si>
  <si>
    <t>http://www.ciudadrealdigital.es</t>
  </si>
  <si>
    <t>Mambri</t>
  </si>
  <si>
    <t>Pedro Sánchez hijo de la gran puta</t>
  </si>
  <si>
    <t>Dios (?) creó a los hombres y Samuel Colt los hizo iguales. Aparejando en Burgos.</t>
  </si>
  <si>
    <t>Marina Ortega</t>
  </si>
  <si>
    <t>Las prioridades claras: Inversión en Sanidad por parte del Gobierno de Pedro Sánchez, concretando diseño de estrategia en enfermedades raras.</t>
  </si>
  <si>
    <t>https://www.farodevigo.es/galicia/2018/12/08/galicia-percibira-555000-euros-programas/2012710.html</t>
  </si>
  <si>
    <t>Xunta de Goberno en Colexio Oficial de Psicoloxía de Galicia @copgalicia//Secretaría Políticas Sociais CENG @PSdeG//Gabinete Subdelegación do Goberno en Ourense</t>
  </si>
  <si>
    <t>Zaragoza, España</t>
  </si>
  <si>
    <t>Verandris</t>
  </si>
  <si>
    <t>He añadido un vídeo a una lista de reproducción de @YouTube ( - La España de Pedro Sanchez. Transición</t>
  </si>
  <si>
    <t>http://youtu.be/kUoYiZvnpdk?a</t>
  </si>
  <si>
    <t>Funcionario de profesión, creador de sueños de vocación</t>
  </si>
  <si>
    <t>jose m mangas</t>
  </si>
  <si>
    <t>alguien la hara entender al presidente por accidente Pedro Sanchez que si unos necios como los CDR cortan la autopista del levante ..estan afectando a la imagen de España y a su economia..#40AnosDeConstitucion</t>
  </si>
  <si>
    <t>ferroviario en todos los sentidos. Ciclista los fines de semana</t>
  </si>
  <si>
    <t>Carloscdto</t>
  </si>
  <si>
    <t>Cada vez que escucho a los Killers me acuerdo de Pedro Sánchez. Que cruz.</t>
  </si>
  <si>
    <t>Toledo - Móstoles</t>
  </si>
  <si>
    <t>Aquí mandan Los Planetas. Discípulos de Mutenroshi y U.D. AstroMóstoles. Uso @nosolomandos a lo catarsis.</t>
  </si>
  <si>
    <t>http://confesionesdeunpipero.wordpress.com</t>
  </si>
  <si>
    <t>bernardo ginart</t>
  </si>
  <si>
    <t>Jose maria garcia debe volver a la radio ya tiene un abrazafarolas y correveidile con pedro sanchez</t>
  </si>
  <si>
    <t xml:space="preserve">Alcudia </t>
  </si>
  <si>
    <t>Baldasare</t>
  </si>
  <si>
    <t>Si tienen hambre que coman pasteles (Maria Antonieta) Si los CDR cortan la AP-7 que viajen en Falcon (Pedro Sánchez)</t>
  </si>
  <si>
    <t>https://pbs.twimg.com/media/Dt5b5ouW0AAB926.jpg</t>
  </si>
  <si>
    <t>Clasificado...</t>
  </si>
  <si>
    <t>luis fernando</t>
  </si>
  <si>
    <t>O nos revelamos los ciudadanos o entre los golpistas el Pedro Sanchez nos amargan la vida y no nos dejan ni libertad ni justicia RT @carloscuestaEM: Los violentos CDR cortan la autopista AP-7 a la altura de la Ampolla (Tarragona)... Ya lo decía la multipropietaria camuflada Celaá: con Sánchez “baja la tensión en Cataluña“...</t>
  </si>
  <si>
    <t>https://twitter.com/carloscuestaEM/status/1071339618950356992
https://okdiario.com/espana/cataluna/2018/12/08/lo-violentos-cdr-cortan-autopista-ap-7-altura-ampolla-tarragona-3441728</t>
  </si>
  <si>
    <t>Sant Boi</t>
  </si>
  <si>
    <t>Por la VIDA, IGUALDAD, LIBERTAD, JUSTICIA. Contra la POBREZA, CORRUPCIÓN, PRIVILEGIOS, DISCRIMINACIÓN Y EL MALTRATO ANIMAL. Español y Europeo.</t>
  </si>
  <si>
    <t>Ángeles SC</t>
  </si>
  <si>
    <t>Pedro Sánchez dando un discurso de Gobierno (grabado, nada de rueda de prensa) en mangas de camisa. Qué cool, qué accesible, qué arreglao pero informal, "vaya, me habéis pillado aquí, trabajando"... ¿A quién me recuerda esta puesta en escena? 🤔🤔</t>
  </si>
  <si>
    <t>https://pbs.twimg.com/media/Dt5byYDX4AAfK5j.jpg</t>
  </si>
  <si>
    <t>Invernalia / Madrid</t>
  </si>
  <si>
    <t>En su morada de R'lyeh, el muerto Cthulhu espera soñando. The monster's running wild inside of me.</t>
  </si>
  <si>
    <t>RosaMaria</t>
  </si>
  <si>
    <t>Julian Alberto Vivar</t>
  </si>
  <si>
    <t>Pedro Sánchez interviene en el XI Congreso del Partido Socialista Europeo  vía @YouTube</t>
  </si>
  <si>
    <t>https://youtu.be/O5jm3v4p0p0</t>
  </si>
  <si>
    <t>Articulista, cronista político-social</t>
  </si>
  <si>
    <t>Aclaración sobre art. #7DNI y admisión Demanda-A.N.Fue otro #FRAUDEJudicial+:Políti/-jueces y Bancos,se quedaron con todo:9.350.000 E. https://gab.ai/RosaMSJ</t>
  </si>
  <si>
    <t>RCDLC.com</t>
  </si>
  <si>
    <t>64' Pedro Sánchez misses the target</t>
  </si>
  <si>
    <t>JR</t>
  </si>
  <si>
    <t>http://deportivo-la-coruna.com The English website of Real Club Deportivo La Coruña</t>
  </si>
  <si>
    <t>http://www.deportivo-la-coruna.com/page.php</t>
  </si>
  <si>
    <t>🌹 Grandes ovaciones y aplausos a Pedro Sánchez, Presidente del Gobierno, SG del PSOE, tanto a su llegada, durante su intervención y al finalizar la misma, por parte de toda la familia socialdemócrata, en la clausura del Congreso del @PES_PSE #PESinLisbon #ProgressiveEurope</t>
  </si>
  <si>
    <t>https://pbs.twimg.com/media/Dt5aqxrWsAU0FRq.jpg</t>
  </si>
  <si>
    <t>María Hevia</t>
  </si>
  <si>
    <t>Pedro Sánchez, Presidente del Gobierno de España en Lisboa: "Yo os pregunto, ¿Cuándo lo hemos tenido fácil?, ¿Cuándo?" 🕊</t>
  </si>
  <si>
    <t>https://youtu.be/Mjlsmets--0</t>
  </si>
  <si>
    <t>Psicóloga, Master en Conducta Humana, Analista Forense</t>
  </si>
  <si>
    <t>Beneméritos 🇪🇸</t>
  </si>
  <si>
    <t>Los CDR cortan la AP-7 en Tarragona y producen enfrentamientos con conductores. Los Mossos no están ni se les espera... y Marlaska tocándose los cojones siguiendo órdenes del miserable de Pedro Sánchez para no “molestar” a los nazis independentistas 🤮</t>
  </si>
  <si>
    <t>https://www.abc.es/espana/catalunya/politica/abci-cortan-ap-7-tarragona-y-producen-algunos-enfretamientos-conductores-afectados-201812081047_noticia.html#ns_campaign=rrss-inducido&amp;ns_mchannel=abc-es&amp;ns_source=tw&amp;ns_linkname=noticia-video&amp;ns_fee=0</t>
  </si>
  <si>
    <t>“El Honor es la principal divisa del #GuardiaCivil” - Esta cuenta y sus opiniones son ajenas a la Guardia Civil 🇪🇸 “Benemeritum Sum Semper” 🇪🇸</t>
  </si>
  <si>
    <t>Y con este panorama Pedro Sánchez quiere DIALOGAR. RT @elconfidencial: Puigdemont pedirá a través de su Consell la expulsión de España de la Unión Europea</t>
  </si>
  <si>
    <t>Andalucía Información</t>
  </si>
  <si>
    <t>Pedro Sánchez se reúne con Costa en el congreso de los socialistas</t>
  </si>
  <si>
    <t>http://ow.ly/K5B850jTnro</t>
  </si>
  <si>
    <t>Andalucía (España)</t>
  </si>
  <si>
    <t>Todas las noticias locales de Andalucía. La información de más de 60 ciudades al instante, en un solo click.</t>
  </si>
  <si>
    <t>http://www.andaluciainformacion.es</t>
  </si>
  <si>
    <t>AbiertoPP</t>
  </si>
  <si>
    <t>🗣️ @pablocasado_ desde Murcia: " Cataluña se le ha ido de las manos al gobierno" "Los CDR campan a sus anchas y ya ni Torra los controla" "Qué más tiene que pasar en Cataluña para que el gobierno ponga orden. Pedro Sánchez tiene la obligación de poner fin a esto"</t>
  </si>
  <si>
    <t>https://pbs.twimg.com/media/Dt5aFMsXgAEwMXH.jpg</t>
  </si>
  <si>
    <t>Iniciativa inspirada en los valores del #GobiernoAbierto para conseguir un @PPopular mas abierto a la sociedad #AbiertoPP</t>
  </si>
  <si>
    <t>https://abiertopp.es/</t>
  </si>
  <si>
    <t>Ana Victoria de Tabarnia</t>
  </si>
  <si>
    <t>"Nosotros no vamos a marear a los españoles" (Pedro Sánchez, presidente del gobierno de España) No utiliza ese verbo, "marear", por casualidad.</t>
  </si>
  <si>
    <t>¿Ni una descripción seria mereces, TÚ, cuya descripción cierta sería un cuento de primavera? Platero y yo.</t>
  </si>
  <si>
    <t>APRIL</t>
  </si>
  <si>
    <t>¡¡PEDRO SANCHEZ VENDE ESPAÑA A LOS NACIONALISTA PARA PODER SEGUIR VIENDO EN LA MONCLOA CON " LA BEGO".</t>
  </si>
  <si>
    <t>https://pbs.twimg.com/media/Dt5Zz1QXgAEj3z_.jpg</t>
  </si>
  <si>
    <t>Buhonero errante</t>
  </si>
  <si>
    <t>Sevilla, España</t>
  </si>
  <si>
    <t>Política y Gobierno</t>
  </si>
  <si>
    <t xml:space="preserve">Barcelona, España, Europa. </t>
  </si>
  <si>
    <t>Surcador de caminos, con el carromato lleno de ungüentos, cachivaches y argumentos hasta la bola. Si vas a venir conmigo agarrate. HdS.</t>
  </si>
  <si>
    <t>http://www.lasilenciosacat.org</t>
  </si>
  <si>
    <t>Monty</t>
  </si>
  <si>
    <t>https://pbs.twimg.com/media/Dt5ZmYIXcAAo8RM.jpg</t>
  </si>
  <si>
    <t>goslum (huelga de hambre revisable permanente)</t>
  </si>
  <si>
    <t>Pronostico que será Pedro Sánchez quien proponga aplicar el 155. Y me parecerá bien.</t>
  </si>
  <si>
    <t>Toda la vida para jugar' es una novela que deberían leer los niños con la supervisión de sus padres. O puede que al revés. (Ya en Amazon)</t>
  </si>
  <si>
    <t>Sebya🇪🇸</t>
  </si>
  <si>
    <t>ESdiario - Información para decidir</t>
  </si>
  <si>
    <t>🇪🇸</t>
  </si>
  <si>
    <t>Edite Estrela</t>
  </si>
  <si>
    <t>O Primeiro-ministro de Espanha, Pedro Sanchez, no encerramento do Congresso dos Socialistas Europeus, em Lisboa: “Los portuguese socialistas habéis demostrado que otro camino es posible, sois un ejemplo para toda la familia socialista”. #pesinlisbon</t>
  </si>
  <si>
    <t xml:space="preserve">Lisboa </t>
  </si>
  <si>
    <t>Deputada. Presidente da Comissão de Cultura, Comunicação, Juventude e Desporto da Assembleia da República</t>
  </si>
  <si>
    <t>Guadanews</t>
  </si>
  <si>
    <t>El Poder Judicial exige al ministro del Interior del Gobierno socialista de Pedro Sánchez, Fernando Grande-Marlaska más protección para los jueces en Cataluña</t>
  </si>
  <si>
    <t>https://www.guadanews.es/noticia/52792/en-portada/el-poder-judicial-exige-al-ministro-del-interior-del-gobierno-socialista-de-pedro-sanchez-fernando-grande-marlaska-mas-proteccion-para-los-jueces-en-cataluna.html</t>
  </si>
  <si>
    <t>Toda la información de Guadalajara y Castilla-La Mancha en papel y en internet.</t>
  </si>
  <si>
    <t>http://www.guadanews.es</t>
  </si>
  <si>
    <t>Antonio Galan Talens</t>
  </si>
  <si>
    <t>40 Aniversario Constitución: Pedro Sánchez: “A los independentistas les da igual el modelo de Estado, quieren ir contra el ser de España” | España | EL PAÍS</t>
  </si>
  <si>
    <t>VALENCIA</t>
  </si>
  <si>
    <t>3 cosas que nunca debes sacrificar: Tu Familia, tu Corazón y tu Dignidad</t>
  </si>
  <si>
    <t>http://about.me/antgalan</t>
  </si>
  <si>
    <t>Newtral</t>
  </si>
  <si>
    <t>FACT-CHECK | Pedro Sánchez, sobre el Loreto: "Antes no había un puerto seguro cercano y ahora sí" FALSO ❌❌ Más información en nuestra web</t>
  </si>
  <si>
    <t>https://newtral.es/fact-check/sanchez-sobre-el-loreto-antes-con-el-aquarius-no-habia-un-puerto-seguro-cercano-y-ahora-si-lo-hay/</t>
  </si>
  <si>
    <t>https://pbs.twimg.com/media/Dt5Xs6wW0AAi-Ui.jpg</t>
  </si>
  <si>
    <t>Periodismo, tecnología y datos. Contamos historias que importan, desmentimos noticias falsas y hacemos fact-checking. Pregúntanos en WhatsApp: +34 682589664</t>
  </si>
  <si>
    <t>http://www.newtral.es</t>
  </si>
  <si>
    <t>Adela Cañas Fermín</t>
  </si>
  <si>
    <t>Pedro Sánchez interviene en el XI Congreso del Partido Socialista Europeo, en directo</t>
  </si>
  <si>
    <t>Las Rozas de Madrid, España</t>
  </si>
  <si>
    <t>https://ift.tt/2L2OEIP</t>
  </si>
  <si>
    <t>En las nubes</t>
  </si>
  <si>
    <t>No hay alivio más grande que comenzar a ser lo que se es</t>
  </si>
  <si>
    <t>Demetrio Vázquez</t>
  </si>
  <si>
    <t>Natacrespo@40</t>
  </si>
  <si>
    <t>En @ecinter: Qué hay detrás del acuerdo entre Pedro Sánchez y Xi Jinping</t>
  </si>
  <si>
    <t>Gallego, catalán, español. Ex-directivo jubilado. Esposo, padre y abuelo. Si me sigues yo te sigo. No todos los RT comparten mi opinión. No MD.</t>
  </si>
  <si>
    <t>Comunidad de Madrid, España</t>
  </si>
  <si>
    <t>https://blogs.elconfidencial.com/mundo/tribuna-internacional/2018-12-05/que-hay-detras-acuerdo-pedro-sanchez-xi-jinping_1683722/?utm_source=twitter&amp;utm_medium=social&amp;utm_campaign=BotoneraWeb</t>
  </si>
  <si>
    <t>https://www.facebook.com/pages/Fans-de-Nata-Crespo/175113679168414?ref=stream</t>
  </si>
  <si>
    <t>Anacardo</t>
  </si>
  <si>
    <t>A Pedro Sanchez no le gusta llamarlo populismo. A Pedro Sanchez le gustan los vuelos por veintipico €. Y el que le escribe los discursos no verá llegar los palos.</t>
  </si>
  <si>
    <t>laredo, Cantabria, España</t>
  </si>
  <si>
    <t>Bienvenidos a la raza humana.</t>
  </si>
  <si>
    <t>PP Región de Murcia</t>
  </si>
  <si>
    <t>🔵 @LopezMirasF “No puede ser que Pedro Sánchez dijera que quiere cerrar el Tajo-Segura. No puede ser que la Ministra diga que los trasvases tienen que ser extraordinario. No podemos aceptar que digan que en la #RegióndeMurcia no hace falta agua”</t>
  </si>
  <si>
    <t>Región de Murcia</t>
  </si>
  <si>
    <t>Twitter oficial del Partido Popular de la #RegióndeMurcia</t>
  </si>
  <si>
    <t>http://www.ppmurcia.org</t>
  </si>
  <si>
    <t>Efesios 61317</t>
  </si>
  <si>
    <t>Pedro Sanchez, si esto es cierto,y el tiempo lo confirmara o no,Usted seria el mas grande Traidor a España y a los Españoles de toda la historia.Lo que no entiendo es que el resto del PSOE(con E de ESPAÑOL)tenga las tragaderas de admitir semejante traicion</t>
  </si>
  <si>
    <t>Una idea para Pedro Sánchez. Viajar mucho y hacer poco durante los 5 primeros meses de 2019 hasta las elecciones autonómicas y municipales. Prorrogar en junio los PGE de 2018 para 2019 y marcharse de vacaciones tranquilamente hasta septiembre. Ni reales decretos ni nada</t>
  </si>
  <si>
    <t>https://twitter.com/Schuma78/status/1070999672238587905</t>
  </si>
  <si>
    <t>pic.twitter.com/h8QFQb9Zn1</t>
  </si>
  <si>
    <t>MiMa a Córdoba</t>
  </si>
  <si>
    <t>Saludamos toda iniciativa para el progreso de Cordoba pero cuando se copia una idea es de bien nacidos indicar a su autor #Cordoba2040 ya se presentó a la opinión pública por Miguel Sanchez de Pedro y un grupo de profesionales de ⁦@CiudadanosCs⁩</t>
  </si>
  <si>
    <t>https://cordopolis.es/2018/12/08/nace-cordoba-20-30-para-despertar-a-la-ciudad-de-su-letargo/</t>
  </si>
  <si>
    <t>Córdoba</t>
  </si>
  <si>
    <t>#MiMaaCordoba acerca las cosas de Cordoba y su gente a mas de 51.000 seguidores cordobeses de nacimiento o adopción y a quienes guste su #HistoriaArteyCultura</t>
  </si>
  <si>
    <t>http://www.facebook.com/mimaacordoba</t>
  </si>
  <si>
    <t>Y Pedro Sánchez preocupado por un partido de fútbol al que nadie interesa. Últimas noticias sobre Catalunya, CDR y Mossos | Directo</t>
  </si>
  <si>
    <t>https://www.elperiodico.com/es/politica/20181208/catalunya-cataluna-quim-torra-mossos-ultimas-noticias-7188784?utm_source=twitter&amp;utm_medium=social</t>
  </si>
  <si>
    <t>P B Marbe-Malaga</t>
  </si>
  <si>
    <t>Cada vez que Pedro Sánchez deja el Falcón 🛩 y pisa el suelo, los españoles le dejan bien claro lo que piensan de él y su Gobierno. ✔️ 0A0 Algarada, LIBERTAD INSTRUMENTAL, PRINCIPIO DE MEDIACIÓN, legislativo, ORGANIZAR LA DECENCIA,</t>
  </si>
  <si>
    <t>pic.twitter.com/EvauqBwyq4</t>
  </si>
  <si>
    <t>Torremolinos, España</t>
  </si>
  <si>
    <t>Me gusta montar en bicicleta con mi gorrito. La vida es bonita si se es libre</t>
  </si>
  <si>
    <t>🔵 @LopezMirasF “Me resisto al maltrato y la desigualdad generada en la #RegióndeMurcia por parte del Gobierno socialista de Pedro Sánchez”</t>
  </si>
  <si>
    <t>https://ift.tt/2Lb7DkB</t>
  </si>
  <si>
    <t>Titulares 24 horas</t>
  </si>
  <si>
    <t>Noticias las 24 horas del dia</t>
  </si>
  <si>
    <t>Andalucía</t>
  </si>
  <si>
    <t>Manuel.R Ferrer</t>
  </si>
  <si>
    <t>Pedro Sánchez con esto de los presupuestos que sabe q no saldrán ni de coña, ha empezado la campaña electoral ..</t>
  </si>
  <si>
    <t>JM2 Global Invest / Gestion y asesoramiento en inversiones de inmuebles / Zentralia Inmuebles /Trading / Indices / Forex</t>
  </si>
  <si>
    <t>http://www.zentraliainmuebles.com</t>
  </si>
  <si>
    <t>Canarias</t>
  </si>
  <si>
    <t>Sheldon</t>
  </si>
  <si>
    <t>Pedro Sánchez ofrece a Torra el reconocimiento de Cataluña como nación, a cambio de apoyarle en la aprobación de los PGE. Lo hace a través de un documento oficial del PSC. Defendiendo la Constitución.</t>
  </si>
  <si>
    <t>:. PenSativo</t>
  </si>
  <si>
    <t>El primer libro que le regalé a Madre fue «Juventud en Éxtasis» de Carlos Cuauhtémoc Sánchez porque ella pasaba por una fase media religiosa, después recapacité y el segundo libro que le regalé fue «Tengo Miedo Torero» de Pedro Lemebel, le encantó el segundo</t>
  </si>
  <si>
    <t>Talcahuano y Laraquete, Chile</t>
  </si>
  <si>
    <t>:. Mi perro se llama Kraken. Soy ariano, azul, bajonero, cinéfilo, laico, lector, seriéfilo y zurdo. Administrador de empresas y Diseñador Industrial.</t>
  </si>
  <si>
    <t>El Rincón de la Esquina</t>
  </si>
  <si>
    <t>Se ve que se ha puesto de moda criticar a Don Pelé. JAJAJAJJA A PELÉ. Hermanos, que ha ganado 3 mundiales, que coño decís de granjeros. No os respetais lo más mínimo, pelé sobrevalorado jajajajaja me cago en todo. Y luego os sorprenden las gilipolleces de pedro Sánchez o podemos</t>
  </si>
  <si>
    <t>Fundador del primer club de fans de taburete en la Guayana francesa.</t>
  </si>
  <si>
    <t>Teresa López Chamosa</t>
  </si>
  <si>
    <t>Pedro Sánchez @sanchezcastejon interviene en el XI Congreso del Partido Socialista Europeo @PES_PSE que se celebra en Lisboa barras://youtu.be/O5jm3v4p0p0</t>
  </si>
  <si>
    <t>Periodista. Socialista, Socialdemócrata. Vocal vecina Dto Salamanca. Madrid. Luchando por la Igualdad. Gallega de nacimiento, ciudadana del Mundo.</t>
  </si>
  <si>
    <t>Actualidad Politica</t>
  </si>
  <si>
    <t>Afectados por Afinsa y Fórum Filatélico abuchean a #Pedro Sánchez...</t>
  </si>
  <si>
    <t>http://tinyurl.com/ydeeeevn</t>
  </si>
  <si>
    <t>César 🇪🇸🇪🇸🇪🇸</t>
  </si>
  <si>
    <t>Lo que está claro es que si Pedro Sánchez no convoca elecciones quien las ganará cuando las convoque será VOX.</t>
  </si>
  <si>
    <t>Sonríe, es gratis.</t>
  </si>
  <si>
    <t>Toro Bravo</t>
  </si>
  <si>
    <t>El 'palo' de Rosa Díez a Pedro Sánchez a cuenta de Vox</t>
  </si>
  <si>
    <t>https://www.cope.es/n/306196</t>
  </si>
  <si>
    <t>El Municipio</t>
  </si>
  <si>
    <t>Unión Colectiva</t>
  </si>
  <si>
    <t>Los Presupuestos para 2019 de Pedro Sánchez son un pequeño paso para los trabajadores. Pero no os dejéis engañar y mucho menos os conforméis. El PSOE ha demostrado en estos 40 años de "democracia" que son un partido bipartidista y que sin presión social no mueven un dedo.</t>
  </si>
  <si>
    <t>Periódico Digital de información general que aboga por una sociedad de hombres libres. 🇪🇸 Ayúdanos con un donativo 👉 https://elmunicipio.es/donativos/ 🇪🇸</t>
  </si>
  <si>
    <t>http://elmunicipio.es/</t>
  </si>
  <si>
    <t>Futuro partido político español cuyo principal objetivo es luchar por el pueblo para construir un país de dignidad e igualdad para todas las personas.</t>
  </si>
  <si>
    <t>Alejandro Gómez</t>
  </si>
  <si>
    <t>Pedro Sánchez quiere reformar la Constitución para incluir la igualdad entre hombres y mujeres. Como si no estuviera ya contemplada dicha igualdad. Lo que hay que hacer es realidad esa igualdad.</t>
  </si>
  <si>
    <t>https://m.eldiario.es/_32458250</t>
  </si>
  <si>
    <t>Participante @ExplorerByX Fundador de @CPEOPatinete #Startups lover. #Innovation &amp; #Education. ¿Algún #hashtag más? 😜</t>
  </si>
  <si>
    <t>http://www.comprarpatineteelectrico.online</t>
  </si>
  <si>
    <t>El responsable de todo lo que está pasando ahora mismo en las carreteras de Cataluña es el señor Pedro Sánchez.</t>
  </si>
  <si>
    <t>Cañuelas Fútbol Club</t>
  </si>
  <si>
    <t>#⚽️ 1C Roberto Sosa decidirá este mediodía el equipo que enfrentará a Villa San Carlos.Los convocados: Aguirre, Quinteros, Pedro, López, Rodrigo Sánchez, Morales, García, Lemos, Portillo, Trejo, Guerrero, Pereyra, Macchione, Lucero, Maidana, Guzmán, Avellaneda, Ferreyra y Krüger.</t>
  </si>
  <si>
    <t>https://pbs.twimg.com/media/Dt5SCTEWkAElRq8.jpg</t>
  </si>
  <si>
    <t>Club fundado el 1ro de enero de 1911. Si sos de Cañuelas, hinchá por Cañuelas. Dale, Rojo!</t>
  </si>
  <si>
    <t>Pitágora de Samos</t>
  </si>
  <si>
    <t>Cada vez que Pedro Sánchez deja el Falcón 🛩 y pisa el suelo, los españoles le dejan bien claro lo que piensan de él y su Gobierno. 🔉 930 CRISIS DE ESTADO, ESTADO-ORGANIZACIÓN, Ordenación, BUSCANDO LA SOLUCIÓN, Amotinamiento, LoMásVisto,</t>
  </si>
  <si>
    <t>Azuqueca de Henares</t>
  </si>
  <si>
    <t>Benidorm, España</t>
  </si>
  <si>
    <t>pic.twitter.com/01hthT81Eq</t>
  </si>
  <si>
    <t>World</t>
  </si>
  <si>
    <t>Pitágoras de Samos fue matemático, filósofo. El teorema de Pitágoras, llamado así por Euclides, ya era conocido con mucha anterioridad a Pitágoras.</t>
  </si>
  <si>
    <t>ana.ruiz</t>
  </si>
  <si>
    <t>Desde Alberto Chicote a Pedro Sánchez, 2018 ha sido un gran año para el mundo 'gif'.</t>
  </si>
  <si>
    <t>http://ow.ly/8Rex30mUz2E</t>
  </si>
  <si>
    <t>Me gusta la moda y estar a la vanguardia. Soy feliz..!!! 😀</t>
  </si>
  <si>
    <t>Jesús Estrella</t>
  </si>
  <si>
    <t>De acuerdo con el presidente Pedro Sanchez , la Democracia y la justicia siempre se impone , aunque muchas veces flaquea y se tambalea , pero por ahora es el sistema politico y social mas justo , y por tal razón es que siempre se impone , como dijo el presidente Pedro Sanchez ...</t>
  </si>
  <si>
    <t>Valencia, Comunidad Valenciana</t>
  </si>
  <si>
    <t>Política y Gobierno, Prensa, Periódicos y TV</t>
  </si>
  <si>
    <t>beatriz garcia 🌹🌹</t>
  </si>
  <si>
    <t>Pedro Sánchez interviene en el XI Congreso del Partido Socialista Europeo</t>
  </si>
  <si>
    <t>https://www.youtube.com/attribution_link?a=ZD3kFu9uGLU&amp;u=%2Fwatch%3Fv%3DO5jm3v4p0p0%26feature%3Dshare</t>
  </si>
  <si>
    <t>#LaRevolucionDeLasRosas</t>
  </si>
  <si>
    <t>Agustín García</t>
  </si>
  <si>
    <t>PRIMERO HAY QUE INTERVENIR A PEDRO SÁNCHEZ...LUEGO A CATALUÑA.</t>
  </si>
  <si>
    <t>https://pbs.twimg.com/media/Dt5Q9qbX4AETM9-.jpg</t>
  </si>
  <si>
    <t>Arriondas</t>
  </si>
  <si>
    <t>Educador de profesión y por convicción.</t>
  </si>
  <si>
    <t>S Moda</t>
  </si>
  <si>
    <t>La revista femenina de EL PAÍS. Cada tercer sábado de mes, con el diario de papel. Cada día, en nuestra web.</t>
  </si>
  <si>
    <t>http://smoda.elpais.com/</t>
  </si>
  <si>
    <t>Pedro Sánchez on Twitter RT @sanchezcastejon: Hoy estoy en Lisboa, con mis compañeros socialistas europeos, en el XI Congreso del @PES_PSE. A partir de las 13:30h intervendré en el panel de clausura junto a @antoniocostapm y @TimmermansEU. Puedes seguirlo en directo aquí:</t>
  </si>
  <si>
    <t>https://twitter.com/sanchezcastejon/status/1071382217543352321?s=04
https://www.youtube.com/watch?v=O5jm3v4p0p0&amp;feature=youtu.be</t>
  </si>
  <si>
    <t>siriapoker</t>
  </si>
  <si>
    <t>Alicante, España</t>
  </si>
  <si>
    <t>Esto es lo q quieres pedro Sánchez?te vamos a comprar una silla y un fotógrafo para q t hagas todas las fotos q quieras y nos dejes tranquilo cn tu dictadura camuflada RT @noticias_cuatro: “¡No aflojamos! ¡El pueblo manda, el gobierno obedece!”: Los CDR cortan la AP-7 en Tarragona</t>
  </si>
  <si>
    <t>https://twitter.com/noticias_cuatro/status/1071337337815093249
http://bit.ly/2Qgzh5j</t>
  </si>
  <si>
    <t>https://pbs.twimg.com/media/Dt4l340WoAE0jgN.jpg</t>
  </si>
  <si>
    <t>La vida te regala todos los días un cheque de 24h,en ti esta cm invertirlo. Mundo del poker es otro mundo</t>
  </si>
  <si>
    <t>Luisgos</t>
  </si>
  <si>
    <t>Es vergonzoso 😡😡😡😡Pedro Sánchez pasa de todo...... se preocupa mucho del partido de fútbol de mañana😤😤😤😤 RT @libertaddigital: Enfrentamientos entre camioneros y los CDR por el corte de la AP-7</t>
  </si>
  <si>
    <t>https://twitter.com/libertaddigital/status/1071380132193947649
http://dlvr.it/Qt7cp2</t>
  </si>
  <si>
    <t>Pedro Sánchez se reúne con Costa en el congreso de los socialistas europeos</t>
  </si>
  <si>
    <t>http://bit.ly/2B5gYp5</t>
  </si>
  <si>
    <t>Groucho</t>
  </si>
  <si>
    <t>Estas cosas demuestran que el desacato a la legalidad y la arbitrariedad siguen imperando en Cataluña. Pedro Sánchez debería restablecer el orden y la ley en esa parte de España (nación que Preside), recuperando competencias delegadas y tan deslealmente ejercidas. RT @elenay29: La Kale Borroka indepen sigue actuando con impunidad sus métodos violentos parecen no importar al okupa ⁦@sanchezcastejon⁩ es imprescindible q Sánchez se vaya, instaurar la normalidad en Cataluña, es imprescindible el 155 Ya. Los CDR cortan la AP-7</t>
  </si>
  <si>
    <t>https://twitter.com/elenay29/status/1071344199151296512
https://www.elmundo.es/cataluna/2018/12/08/5c0b92fb21efa0d45b8b4608.html</t>
  </si>
  <si>
    <t>Por un Planeta limpio y una España logica. En todos los Estados federados de EEUU, se estudia la misma historia de EEUU: es lógico. En España no: es ilogico.</t>
  </si>
  <si>
    <t>M. I. García Bolta</t>
  </si>
  <si>
    <t>Las Palmas de Gran Canaria, España</t>
  </si>
  <si>
    <t>Filóloga. Amante de la literatura. Defensora de las bibliotecas y los archivos. Tengo presente a Pérez Galdós y releo a Emilio Lledó. En mi agenda, Cultura.</t>
  </si>
  <si>
    <t>Jaime de Berenguer</t>
  </si>
  <si>
    <t>Después de las declaraciones de Quim Torra pidiendo directamente la violencia para llegar a la independencia sólo queda una solución. O Pedro Sánchez aplica el 155 o lo aplica el pueblo español.</t>
  </si>
  <si>
    <t>Digo lo que pienso, a veces me equivoco. “Hay que apartar de nosotros el mal gusto de querer coincidir con muchos” Nietzsche.Liberal. Concejal de Madrid 2011-15</t>
  </si>
  <si>
    <t>Arquímedes de Siracusa.</t>
  </si>
  <si>
    <t>Cada vez que Pedro Sánchez deja el Falcón 🛩 y pisa el suelo, los españoles le dejan bien claro lo que piensan de él y su Gobierno. 🌏 UD3 URGENTE, LIBERTAD FUNDACIONAL, ejecutivo, formación del edificio político, ELECCIONES SIN ELECCIÓN,</t>
  </si>
  <si>
    <t>pic.twitter.com/S4JX4jaPCm</t>
  </si>
  <si>
    <t>Soy físico, ingeniero, inventor, astrónomo y matemático. Se conocen pocos detalles de mi vida, pero estoy considerado uno de los científicos más importantes.</t>
  </si>
  <si>
    <t>José Simón 🇪🇸</t>
  </si>
  <si>
    <t>¡. Qué crímenes hemos cometido para soportar la penitencia del narcisista Pedro Sánchez Castejón, embustero hasta los tuétanos</t>
  </si>
  <si>
    <t>Catalunya</t>
  </si>
  <si>
    <t>http://wp.me/p76pmQ-rw</t>
  </si>
  <si>
    <t>Esplugues de Llobregat</t>
  </si>
  <si>
    <t>Ciudadano rebelde, amante de la libertad incómoda. Escribo lo que pienso. Si te gustan mis artículos, recomiéndalos.</t>
  </si>
  <si>
    <t>http://www.josesimongracia.es</t>
  </si>
  <si>
    <t>Pedro Sánchez on Twitter RT @sanchezcastejon: Nuestra Constitución debe reconocer a las personas con #discapacidad como ciudadanos libres e iguales. Ese es el objetivo del Anteproyecto de reforma del art. 49 aprobado hoy en el #CMin. La dignidad y los derechos de este colectivo han de estar reflejados en nuestra Carta Magna.</t>
  </si>
  <si>
    <t>https://twitter.com/sanchezcastejon/status/1071108859635351552?s=04</t>
  </si>
  <si>
    <t>Qué crímenes hemos cometido para soportar la penitencia del narcisista Pedro Sánchez Castejón, embustero hasta los tuétanos</t>
  </si>
  <si>
    <t>Topomares</t>
  </si>
  <si>
    <t>Pedro Sánchez huele a muerto y lo sabe, porque un presidente socialista español, amparado por separatas y por Pablo Iglesias (antichalet, con chalet)....tiene menos futuro que Falete en el salto con pértiga</t>
  </si>
  <si>
    <t>Sevilla  España (SPAIN)</t>
  </si>
  <si>
    <t>A las cositas que pasan o nos pasan en la vida mejor sacarle algo de humor siempre</t>
  </si>
  <si>
    <t>https://www.youtube.com/watch?v=3KGu0jSZYIM&amp;list=PL650Y28jDUauvB6NtMX-FHHslor4vf0sX&amp;index=7</t>
  </si>
  <si>
    <t>https://pbs.twimg.com/media/Dt5MPWeVYAEHHTR.jpg</t>
  </si>
  <si>
    <t>Amparo Rubiales</t>
  </si>
  <si>
    <t>feminismo: ideología q defiende que las mujeres deben tener los mismos derechos, reales y efectivos, que los hombres</t>
  </si>
  <si>
    <t>Vzaino➰</t>
  </si>
  <si>
    <t>¿Golpe de Estado? ¿Es cierto esto tan fuerte que cuentan de Pedro Sánchez?</t>
  </si>
  <si>
    <t>https://www.dolcacatalunya.com/2016/10/cierto-tan-fuerte-cuentan-pedro-sanchez/</t>
  </si>
  <si>
    <t>Yo</t>
  </si>
  <si>
    <t>Luís Pérez Torres</t>
  </si>
  <si>
    <t>Sr.Pedro Sánchez,Sr Rivera,Sr Casado ES HORA DE VOLVER A LA POLITICA DEL IDEALISMO,SIN EGOISMO.HACER UN FRENTE CONSTITUCIONALISTA Y GORBERNAREIS ESPAÑA COMO LA MAYORIA DE LOS ESPAÑOLES QUEREMOS . VAYAMOS OLVIDANDO LOS DOS AÑITOS QUE NOS HAN DADO,las fuerzas anticonstitucional es</t>
  </si>
  <si>
    <t>Estoy en la aldea del medio:entre el diálogo entre derecha y la izquierda:el estado del bienestar,la socialdemocracia europea y nórdica.</t>
  </si>
  <si>
    <t>joangar</t>
  </si>
  <si>
    <t>Señor Pedro Sanchez soy socialista que es lo que mi padre ya fayecido hace un año casi me inculcó. Por favor tome cartas en el asunto porque no se puede consentir que el señor Torra critique la actuación de su propia policía ósea una vergüenza agame caso y aplique el art. 155</t>
  </si>
  <si>
    <t>Consuelo de la Torre</t>
  </si>
  <si>
    <t>He leído que Pedro Sánchez le dará a Cataluña la categoría de nación en España a cambio de aprobar los presupuestos. ¿Quién se cree que es? Si esto es cierto este Caín no tendrá ni un espacio para esconderse en las próximas elecciones. El reyezuelo dictador y sus prebendas.</t>
  </si>
  <si>
    <t>Pau Cebriá</t>
  </si>
  <si>
    <t>Cualquiera diría que Pedro Sánchez está tratando de prolongar la agonía para no ser recordado como "el Breve"</t>
  </si>
  <si>
    <t>Español y Valenciano. Estos son mis principios; si no le gustan, tengo otros. Valencianista desde siempre.</t>
  </si>
  <si>
    <t>josé luis roig</t>
  </si>
  <si>
    <t>Pedro Sánchez, el presidente herido y desorientado por culpa de creerse las profecías demoscópicas de Tezanos, tiene preparada su ofensiva política vía Presupuestos, y pretende convertirlos en una estratégica manera de obligar a sus cambiantes y retorcidos socios a retratarse. RT @la_informacion: 🖊Opinión: De la Carta Magna a la carta a los Reyes Magos: las nuevas estrategias de los líderes políticos  Por @joseluisroig</t>
  </si>
  <si>
    <t>https://twitter.com/la_informacion/status/1071361244190400512
http://lainfo.news/8rt0g1</t>
  </si>
  <si>
    <t>https://pbs.twimg.com/media/Dt47Gx7XgAA68Tl.jpg</t>
  </si>
  <si>
    <t>La felicidad no es ausencia de problemas, es la habilidad de tratar con ellos (Maraboli). Analista en La Sexta, Telemadrid y http://lainformacin.com</t>
  </si>
  <si>
    <t>antirojo</t>
  </si>
  <si>
    <t>Prensa</t>
  </si>
  <si>
    <t>URKI</t>
  </si>
  <si>
    <t>De Pedro Sánchez, ya se ha dicho en numerosas ocasiones que estaba acabado, y ahí está, mal o bien de Presidente de Gobierno. Y en cuanto a la izquierda, quizá la irrupción virulenta de VOX, sea lo mejor que le ha podido pasar, de cara a próximos comicios.</t>
  </si>
  <si>
    <t>https://m.eldiario.es/zonacritica/izquierda-espanola-irremisiblemente-cuesta-abajo_6_843125725.html</t>
  </si>
  <si>
    <t>Crítico, descreído, agnóstico, curioso. ¿Suficiente?</t>
  </si>
  <si>
    <t>MARISA #SiALaVida♥🇪🇸🇪🇸🇪🇸</t>
  </si>
  <si>
    <t>Alfonso Ussía le borra la sonrisa al "ególatra y hortera" Pedro Sánchez mandándole de un sopapo al psiquiátrico  vía @Periodistadigit</t>
  </si>
  <si>
    <t>https://www.periodistadigital.com/periodismo/prensa/2018/11/22/alfonso-ussia-borra-sonrisa-egolatra-sanchez-manda-volando-psiquiatrico.shtml</t>
  </si>
  <si>
    <t>Valencia (Spain)</t>
  </si>
  <si>
    <t>CATÓLICA, orgullosa de serlo. DE DERECHAS. Me gusta leer y viajar. ESPAÑA es mi Pais y PARIS es mi ciudad.</t>
  </si>
  <si>
    <t>Doctor Okupa</t>
  </si>
  <si>
    <t>Tengo una teoría de porque Pedro Sánchez pasa tantos días en el extranjero. Creo que es consciente de que no puede pisar la calle tranquilamente en España sin que lo abucheen o le exijan elecciones. Prefiere escapar, prefiere alejarse de cualquier responsabilidad o explicación.</t>
  </si>
  <si>
    <t>Falcón, Venezuela</t>
  </si>
  <si>
    <t>Presidente Okupa del Gobierno. Feminista y con Ministros maricones. Me gusta volar en avión a conciertos y en helicóptero a bodas de cuñados. A veces plagio.</t>
  </si>
  <si>
    <t>Sɧεℓɓγ</t>
  </si>
  <si>
    <t>Pedro Sánchez responsable por inacción. RT @Er_Richal: A ver qué mosso se atreve ahora a desmantelar a estos grupos violentos, sabiendo que serían depurados por Torra.</t>
  </si>
  <si>
    <t>https://twitter.com/Er_Richal/status/1071322217475133440
https://twitter.com/TarragonaCdr/status/1071316887919882240</t>
  </si>
  <si>
    <t>Todavía no sé qué me vas a preguntar, pero me opongo.</t>
  </si>
  <si>
    <t>Iván ❤️💛💜</t>
  </si>
  <si>
    <t>Aquí tenemos el primer Tweet de Pedro Sánchez. Se vuelve a confirmar que para gobernar en España hay que ser analfabeto.</t>
  </si>
  <si>
    <t>https://pbs.twimg.com/media/Dt5HVnfW0AAkrWM.jpg</t>
  </si>
  <si>
    <t>Andalú, ateo y anticapitalista. La homofobia, el racismo, el abuso y el maltrato me hinchan los cojones. Igual me pasa con los borbones. ¡A POR LA TERCERA! ✊</t>
  </si>
  <si>
    <t>Eduardo Bongiovanni</t>
  </si>
  <si>
    <t>El presidente español Pedro Sánchez asistirá a la final de la Copa Libertadores en el Santiago Bernabéu</t>
  </si>
  <si>
    <t>https://www.infobae.com/america/deportes/2018/12/07/el-presidente-espanol-pedro-sanchez-asistira-a-la-final-de-la-copa-libertadores-en-el-santiago-bernabeu/</t>
  </si>
  <si>
    <t>Baires</t>
  </si>
  <si>
    <t>Productor de @PameAlaTarde @DeboDecirOK Productor del Show del Fútbol, @PlayFutbolCom y Animales Sueltos @animalesoficial (@AmericaTV) @JotaxTV</t>
  </si>
  <si>
    <t>@ppapanol</t>
  </si>
  <si>
    <t>¿Qué tiene Pedro Sánchez contra su suegro, el de las saunas gays? El PSOE propone multar a los clientes de la prostitución reading</t>
  </si>
  <si>
    <t>http://www.alertadigital.com/2018/12/07/que-tiene-pedro-sanchez-contra-su-suegro-el-psoe-propone-multar-a-los-clientes-de-la-prostitucion/</t>
  </si>
  <si>
    <t>http://page.is/ppapanol</t>
  </si>
  <si>
    <t>ALFONSO CASO DE LOS</t>
  </si>
  <si>
    <t>Ridículo apoteósico: Pedro Sánchez pide reformar la Constitución para incluir un artículo... que ya existe</t>
  </si>
  <si>
    <t>ASTURIAS-ESPAÑA</t>
  </si>
  <si>
    <t>http://alfilodelanavajadetaramundi.blogspot.com/</t>
  </si>
  <si>
    <t>UE ELECCIONES - Pedro Sánchez se reúne con Costa en el congreso de los socialistas europeos</t>
  </si>
  <si>
    <t>http://dlvr.it/Qt7W8z</t>
  </si>
  <si>
    <t>https://pbs.twimg.com/media/Dt5Et3fVAAYJ_4i.jpg</t>
  </si>
  <si>
    <t>EV</t>
  </si>
  <si>
    <t>El verdadero CIS de Pedro Sánchez: otro espectacular abucheo en el Congreso  vía @ESdiario_com</t>
  </si>
  <si>
    <t>Albacete y Madrid (España)</t>
  </si>
  <si>
    <t>Liberal. Una nación o una civilización que continúa produciendo hombres débiles de espíritu está comprando a plazos su propia muerte espiritual (M.L.King)</t>
  </si>
  <si>
    <t>Carlos Herrera emite una grabación de Pedro Sánchez que le fulmina en 9 segundos  via @ESdiario_com</t>
  </si>
  <si>
    <t>https://www.esdiario.com/142088253/Carlos-Herrera-emite-una-grabacion-de-Pedro-Sanchez-que-le-fulmina-en--segundos.html</t>
  </si>
  <si>
    <t>https://pbs.twimg.com/media/Dt5DVxvXQAEEH8k.jpg</t>
  </si>
  <si>
    <t>Atenea</t>
  </si>
  <si>
    <t>Feliz día de la Inmaculada, patrona de España 🇪🇸 y muchos ánimos a los conductores que han decidido pasar hoy por tramo AP7 de Ampolla en Tarragona, en ese punto están los tolerantes constitucionalistas del CDR para desearos un buen día. Dad gracias al gobierno de Pedro Sánchez.</t>
  </si>
  <si>
    <t>Aprendiz-Batalladora</t>
  </si>
  <si>
    <t>Juan Antonio Sempere</t>
  </si>
  <si>
    <t>Os traduzco la noticia 👇 "El Tripartito dice que hará en 4 meses lo que no ha hecho en 3 años y medio" 🤚 Gracias, pero no, gracias. Este PSOE no deja de ser un calco de Pedro Sánchez. Rehén de nacionalistas que vive de propaganda y promesas incumplidas. #TrpartitoCaducado</t>
  </si>
  <si>
    <t>https://pbs.twimg.com/media/Dt5Cd2aXcAEN1B5.jpg</t>
  </si>
  <si>
    <t>Elche</t>
  </si>
  <si>
    <t>Ilicitano 🌴 valenciano 🍊español 🇪🇸 europeo. Concejal del Ayuntamiento de Elche. Portavoz adjunto de Cs Elche.</t>
  </si>
  <si>
    <t>http://elche.ciudadanos-cs.org/</t>
  </si>
  <si>
    <t>La Radio a la Carta</t>
  </si>
  <si>
    <t>De todo menos esperanza ha insuflado Pedro Sánchez en los hogares españoles, pues en apenas seis me...</t>
  </si>
  <si>
    <t>http://copiajuridica.es/2018/12/08/sanchez-hunde-de-nuevo-la-confianza-de-los-espanoles-en-el-futuro-economico</t>
  </si>
  <si>
    <t>http://copiajuridica.es</t>
  </si>
  <si>
    <t>Estacas Benditas</t>
  </si>
  <si>
    <t>En nuestro último programa hablamos de relaciones de pareja, inseguridades, qué hacer si tu crush resulta ser un vampiro y la tesis de Pedro Sánchez. Asi, variado ante todo. RT @EstacaBendita: Aquí os dejamos nuestro cuarto programa donde os comentamos los capítulos 7, 8 y 9 de la serie: Angel, Yo robot, tú Jane y El guiñol. ¡¡Disfrutadlo, scoobies!!</t>
  </si>
  <si>
    <t>https://twitter.com/EstacaBendita/status/1069976924938752009
https://www.ivoox.com/estacas-benditas-03-angel-yo-robot-tu-audios-mp3_rf_30533586_1.html</t>
  </si>
  <si>
    <t>¡Bienvenidos a la Boca del Infierno!</t>
  </si>
  <si>
    <t>Podcast en el que dos generaciones unen fuerzas para charlar sobre Buffy Cazavampiros. Nuestro Scooby Gang está formado por @javierrodrigu73 y @pilimartinberg.</t>
  </si>
  <si>
    <t>https://www.ivoox.com/podcast-estacas-benditas_sq_f1614523_1.html</t>
  </si>
  <si>
    <t>Álvaro Barrena</t>
  </si>
  <si>
    <t>“No les interesa nuestras exportaciones, sino la geoestrategia mundial" Qué hay detrás del acuerdo entre Pedro Sánchez y Xi Jinping #China #Empresas #FelizFinde</t>
  </si>
  <si>
    <t>https://blogs.elconfidencial.com/mundo/tribuna-internacional/2018-12-05/que-hay-detras-acuerdo-pedro-sanchez-xi-jinping_1683722/?utm_campaign=BotoneraWebapp&amp;utm_source=twitter&amp;utm_medium=social</t>
  </si>
  <si>
    <t>Periodista y obrero de la tele. #Periodismo #Comunicación #Televisión La clave es la pasión</t>
  </si>
  <si>
    <t>TSF Rádio</t>
  </si>
  <si>
    <t>António Costa e Pedro Sánchez reunidos para debater a Europa  Em</t>
  </si>
  <si>
    <t>http://dlvr.it/Qt7TZm
http://www.TSF.pt</t>
  </si>
  <si>
    <t>https://pbs.twimg.com/media/Dt5BbToVsAEyQB_.jpg</t>
  </si>
  <si>
    <t>Lisboa - Portugal</t>
  </si>
  <si>
    <t>Lisboa: 89.5 FM | Porto: 105.3 FM</t>
  </si>
  <si>
    <t>http://www.tsf.pt</t>
  </si>
  <si>
    <t>jesus</t>
  </si>
  <si>
    <t>Reconocer a Cataluña como nación, esto dice Pedro Sánchez. Estè si que es fascista y anticonstitucionalista.</t>
  </si>
  <si>
    <t>zaragoza</t>
  </si>
  <si>
    <t>Alguien que no pretende molestar</t>
  </si>
  <si>
    <t>Luis Rodríguez</t>
  </si>
  <si>
    <t>Estos del gobierno y PSOE me sorprenden cada día más, ahora la lista más votada... A Pedro Sánchez quien le voto? RT @rosadiezglez: Dice Celaá, ejerciendo desde Moncloa como portavoz del PSOE, que en Andalucia la única que está ‘legitimada’ para gobernar es Susana Díaz porque es ‘la lista más votada’. Es la primera vez que un miembro del Gobierno cuestiona la legitimidad de Sánchez para ser Presidente.</t>
  </si>
  <si>
    <t>https://twitter.com/rosadiezglez/status/1071051624091656192</t>
  </si>
  <si>
    <t>Libertad, justicia y democracia = progreso</t>
  </si>
  <si>
    <t>Diego Valiño Seva</t>
  </si>
  <si>
    <t>Pedro Sánchez tiene hasta el 2 abril para convocar elecciones o esperar ya hasta el otoño:  vía @Publico_es</t>
  </si>
  <si>
    <t>https://bit.ly/2E6rWOy</t>
  </si>
  <si>
    <t>Oviedo/Uviéu, Asturias/Asturies</t>
  </si>
  <si>
    <t>Concejal en el @AytOviedo por el @GMSOviedo | Militante de la AMSO @PSOE_Oviedo | Adscrito a @ISPSOE_Asturias | Periodista | E-mail: diegovalino@oviedo.es</t>
  </si>
  <si>
    <t>https://es.linkedin.com/in/puxapali</t>
  </si>
  <si>
    <t>Marga Campos</t>
  </si>
  <si>
    <t>Pedro Sánchez confía en quedarse con el centro político de cara al nuevo ciclo electoral - . SÓC MARGA CAMPOS. SÓC VIU. JO NO VAIG A VOTAR l'partit popular. M'AGRADARIA QUE:::FORA (que está de mes) Pedro Sánchez.PERO NO VAIG ANAR VOTAR l'partit popular.</t>
  </si>
  <si>
    <t>https://m.eldiario.es/3245823b_843416123/</t>
  </si>
  <si>
    <t>https://pbs.twimg.com/media/Dt5AeklXQAARZVH.jpg</t>
  </si>
  <si>
    <t>Jose Luis</t>
  </si>
  <si>
    <t>Para que veáis hasta donde llega la desvergüenza el cinismo y de tomar el pelo a la gente y de considerarlos idiitas dice el pedro sanchez si ese presidente Ilegal que multara a los que usen la prostitución cuando cuando salga el juicio de gente del PSA que pago con</t>
  </si>
  <si>
    <t>Si no te gusta lo que digo no me sigas ; estoy en contra del comunismo y el comunismo radical populista (ojo no soy de ningún partido)</t>
  </si>
  <si>
    <t>Estrella</t>
  </si>
  <si>
    <t>Pedro Sánchez cree que el miedo a Vox le beneficiará en las generales... ¿y por qué no las convoca?  Enviado desde @updayESP</t>
  </si>
  <si>
    <t>https://www.diariocordoba.com/amp/noticias/espana/sanchez-cree-miedo-vox-beneficiara-generales_1269075.html</t>
  </si>
  <si>
    <t>El primero en pedir disculpas es el más valiente. El primero en perdonar, el más fuerte y, el primero en olvidar, el más feliz.</t>
  </si>
  <si>
    <t>ElPeriodicoDO</t>
  </si>
  <si>
    <t>Pedro Sánchez: “Las #víctimas han sido y son el bastión moral de nuestras…  #ElPeriodicoDO</t>
  </si>
  <si>
    <t>https://goo.gl/fb/EBR3DZ</t>
  </si>
  <si>
    <t>Santo Domingo, Rep. Dom.</t>
  </si>
  <si>
    <t>http://www.elperiodico.com.do</t>
  </si>
  <si>
    <t>@MariaCalleSanti</t>
  </si>
  <si>
    <t>50años.Pensaba Qué Lo SabíaTodo!Ahora Aprendo! Repúblicana! Libertad Imprescindible! Creyente! Madre! Viajar! DefensAnimal!</t>
  </si>
  <si>
    <t>Juan Garcia H</t>
  </si>
  <si>
    <t>Un miembro de la extrema derecha catalana llamado Quim Torras y su gobierno apoyan la destruccion del mobiliario publico... romper cristales quemar contenedores .. Esperemos que Pedro Sanchez deje de hacer calculos y actue!!!!!</t>
  </si>
  <si>
    <t>Montcada i Reixac-Barcelona</t>
  </si>
  <si>
    <t>MONTCADA I REIXAC,BARCELONA,CATALUÑA ESPAÑA,EUROPA circulos inclusivos que forma mi sentimiento</t>
  </si>
  <si>
    <t>http://www.volvamosaserpsc-psoe.blogspot.com</t>
  </si>
  <si>
    <t>Ferry Christmas</t>
  </si>
  <si>
    <t>hola hay alguien ahi? soy Pedro Sanchez Castejon. Hoy estreno cuenta en twitter y espero aprender, escuchar y que lo que cuente os interese!</t>
  </si>
  <si>
    <t>Barcelona, Catalunya</t>
  </si>
  <si>
    <t>17 | @unknxwnferry | soy gilipollas</t>
  </si>
  <si>
    <t>http://discord.me/xferry</t>
  </si>
  <si>
    <t>jose carlos lorenzo</t>
  </si>
  <si>
    <t>El presidente del PP, Pablo Casado, ha pedido este viernes a Pedro Sánchez que “deje en paz” la Constitución porque no puede reformarse en este momento con...</t>
  </si>
  <si>
    <t>https://okdiario.com/espana/2018/12/07/casado-pide-sanchez-que-deje-paz-constitucion-que-esta-cayendo-cataluna-3440919</t>
  </si>
  <si>
    <t>El HuffPost</t>
  </si>
  <si>
    <t>¿Qué legado dejará Pedro Sánchez?  Esto ha respondido el presidente del Gobierno a @estherpalomera</t>
  </si>
  <si>
    <t>https://www.huffingtonpost.es/esther-palomera/que-diran-de-ellos-cuando-ya-no-esten_a_23611994/</t>
  </si>
  <si>
    <t>Madrid, Spain</t>
  </si>
  <si>
    <t>▶Facebook http://bit.ly/1sDqXwu ▶Telegram http://bit.ly/1sDriPC ▶Android http://bit.ly/1NcE6TE ▶iOS http://bit.ly/1AokTa1</t>
  </si>
  <si>
    <t>http://www.huffingtonpost.es</t>
  </si>
  <si>
    <t>Luis Suarez</t>
  </si>
  <si>
    <t>"Dos tontos muy tontos" Escrita y dirigida por Pablo Casado y Pedro Sánchez RT @WyomingAgain: Poned título a esta payasada</t>
  </si>
  <si>
    <t>https://twitter.com/WyomingAgain/status/1070803140348387328</t>
  </si>
  <si>
    <t>https://pbs.twimg.com/media/DtxBxtmW0AA_D0L.jpg</t>
  </si>
  <si>
    <t>Vigo, España</t>
  </si>
  <si>
    <t>Padre de Nerea, casado con una madre heroina, del CELTA y Vice de la peña celtista @afouteza</t>
  </si>
  <si>
    <t>http://www.cossat.com</t>
  </si>
  <si>
    <t>New post (Pedro Sánchez: "Las víctimas han sido y son el bastión moral de nuestras libertades") has been published on El Periodico -</t>
  </si>
  <si>
    <t>https://is.gd/gOzxHY</t>
  </si>
  <si>
    <t>https://pbs.twimg.com/media/Dt48-npU4AAcAoy.jpg</t>
  </si>
  <si>
    <t>Luís Fco. Rodríguez</t>
  </si>
  <si>
    <t>La gente es muy mal pensada. El hombre lo dijo por no hacer spoilers al que no haya llegado a leerse ese artículo.</t>
  </si>
  <si>
    <t>Siempre se puede hacer algo para mejorar las cosas. Me gusta compartir sobre informática, procesos, tecnología, sociedad, política, libros y naturaleza.</t>
  </si>
  <si>
    <t>EDUARDO RODRIGUEZ</t>
  </si>
  <si>
    <t>Entiendo la bondad como la más excelsa forma de sabiduría.El Buen Salvaje. Pro @PLD_space y del Atleti. España</t>
  </si>
  <si>
    <t>Riazor.org</t>
  </si>
  <si>
    <t>En el banquillo estarán: Ortolá, Bergantiños, Christian Santos, Somma, Krohn-Dehli, Pedro Sánchez y Didier Moreno. Los descartes han sido David Simón y Caballo:</t>
  </si>
  <si>
    <t>https://www.riazor.org/deportivo-vs-numancia-minuto-a-minuto-en-directo/</t>
  </si>
  <si>
    <t>A Coruña</t>
  </si>
  <si>
    <t>Twitter oficial de http://Riazor.org. Noticias del RC Deportivo, de sus categorías inferiores y del Femenino. Crónicas de sus partidos, directos, fotos.</t>
  </si>
  <si>
    <t>http://riazor.org</t>
  </si>
  <si>
    <t>120 minutos</t>
  </si>
  <si>
    <t>#VÍDEO | ¿Nuevo pulso entre @susanadiaz y @sanchezcastejon? ▶</t>
  </si>
  <si>
    <t>http://telemd.es/w33254</t>
  </si>
  <si>
    <t>pic.twitter.com/Y0UYSSwVqx</t>
  </si>
  <si>
    <t>Magacín informativo presentado por @maria_rey, una ventana a la actualidad que se abre todas las mañanas, de L-V, a partir de las 11:30h en @telemadrid</t>
  </si>
  <si>
    <t>http://www.telemadrid.es/120minutos</t>
  </si>
  <si>
    <t>Agustí Peiró</t>
  </si>
  <si>
    <t>L'amic de Pedro Sánchez mireu com vol rebre'l Torra apoya las protestas para recibir al Consejo de Ministros en Barcelona  vía @el_pais</t>
  </si>
  <si>
    <t>https://elpais.com/ccaa/2018/12/07/catalunya/1544212738_324067.html?id_externo_rsoc=TW_CC</t>
  </si>
  <si>
    <t>Món (ciutadà del)</t>
  </si>
  <si>
    <t>Tècnic lingüista, escriptor</t>
  </si>
  <si>
    <t>Cardinale</t>
  </si>
  <si>
    <t>A día de hoy pactar con el PSOE es pactar con Podemos y los independentistas con el envoltorio de Pedro Sánchez.</t>
  </si>
  <si>
    <t>CDL "Para que triunfe el mal, basta con que los hombres de bien no hagan nada." Burke. "Los españoles tienen el derecho y el deber de defender a España". CE a30</t>
  </si>
  <si>
    <t>pressdigital</t>
  </si>
  <si>
    <t>luis labarta</t>
  </si>
  <si>
    <t>Diario digital plural e independiente donde puedes informarte y participar. Síguenos en Facebook: https://www.facebook.com/pressdigitalteinforma</t>
  </si>
  <si>
    <t>http://www.pressdigital.es/</t>
  </si>
  <si>
    <t>Santander (Cantabria)</t>
  </si>
  <si>
    <t>¡¡¡No molestes la Vida. Se está trabajando!!!</t>
  </si>
  <si>
    <t>#Depor bench: Adrián Ortolá, Michelle Somma, Álex Bergantiños, Krohn-Dehli, Didier Moreno, Pedro Sánchez, &amp; Christian Santos</t>
  </si>
  <si>
    <t>Paloma 🇪🇸🇪🇸🇪🇸⚔️⚔️⚔️</t>
  </si>
  <si>
    <t>Pedro Sánchez no sadrá impune de tanta desvergüenza</t>
  </si>
  <si>
    <t>https://www.elespanol.com/espana/20181208/sanchez-pretende-independentista-historico-consejo-ministros-barcelona/358965156_0.html</t>
  </si>
  <si>
    <t>Con los pies descalzos y el corazón contento</t>
  </si>
  <si>
    <t>Angel Irún C.</t>
  </si>
  <si>
    <t>Pedro Sánchez implicado en la mayor estafa bancaria de la historia - Por Noticiero Universal (29/7/2017) - PDF:  Dirección prensa censurada excepto por el servidor Mozilla:</t>
  </si>
  <si>
    <t>https://goo.gl/eq2Y2V
https://goo.gl/9pcQVj</t>
  </si>
  <si>
    <t>https://pbs.twimg.com/media/Dt45IfYW0AEMahD.jpg</t>
  </si>
  <si>
    <t>Paiporta (Valencia)</t>
  </si>
  <si>
    <t>Jubilado de 72 años de edad.</t>
  </si>
  <si>
    <t>https://www.facebook.com/angelir.irunc.3</t>
  </si>
  <si>
    <t>EHNSR©</t>
  </si>
  <si>
    <t>11 de salida: Dani G., Eneko B., Duarte, Pablo Marí, Saúl, Mosquera, Vicente Gómez, Edu expósito, Carles Gil, Quique Glez y Borja V. Banquillo: Ortolá, Álex B., Somma, Krohn-Delhi, Pedro Sánchez, Didier Moreno y Christian Santos. Descartados: D.Simón y D.Caballo. #Voltaremos</t>
  </si>
  <si>
    <t>https://pbs.twimg.com/media/Dt447WrW0AA4OJU.jpg</t>
  </si>
  <si>
    <t>ESTA HINCHADA NUNCA SE RINDE (Facebook Group) (EHNSR) nació con el único objetivo de apoyar y animar al R.C.Deportivo de La Coruña. 23 mayo 2011</t>
  </si>
  <si>
    <t>Europe</t>
  </si>
  <si>
    <t>https://pbs.twimg.com/media/Dt45B30U8AAHHBI.jpg</t>
  </si>
  <si>
    <t>Sergio</t>
  </si>
  <si>
    <t>Ibiza</t>
  </si>
  <si>
    <t>Boadella sabe, como todos los españoles de bien, que Pedro Sánchez se ha bajado los pantalones ante los que quieren destruir España. Nunca un presidente de España llegó a tal grado de deshonor e ignominia.</t>
  </si>
  <si>
    <t>https://pbs.twimg.com/media/Dt449w1XgAA6yzb.jpg</t>
  </si>
  <si>
    <t>Conservador, liberal y monárquico.</t>
  </si>
  <si>
    <t>Porque Pedro Sánchez les ha dado demasiado poder. RT @RABAGOISABEL: Reflexión: Por qué en los medios de comunicación, se habla de “manifestación antifascista” para referirse a unos radicales de extrema izquierda, que queman contenedores y rompen todo lo que les apetece, porque no les gusta el resultado de unas elecciones democráticas? Por qué?🇪🇸</t>
  </si>
  <si>
    <t>https://twitter.com/RABAGOISABEL/status/1071324899300515840</t>
  </si>
  <si>
    <t>Rafael Ruiz Vera</t>
  </si>
  <si>
    <t>ElDesmarque Dépor</t>
  </si>
  <si>
    <t>El banquillo del #Dépor estará formado por Adrián Ortolá (ps), Michele Somma, Michael Krohn-Dehli, Álex Bergantiños, Didier Moreno y Pedro Sánchez #DéporNumanica #LaLiga123</t>
  </si>
  <si>
    <t>Malaga</t>
  </si>
  <si>
    <t>Paseando al león. Aún vuela el águila más arriba...</t>
  </si>
  <si>
    <t>Bienvenido al Twitter Oficial de ElDesmarque #Dépor. ¡Síguenos y suscríbete GRATIS a nuestro WhatsApp! http://dsmrq.es/WhatsappDepor</t>
  </si>
  <si>
    <t>http://eldesmarque.com/coruna</t>
  </si>
  <si>
    <t>ROBERT RODRIGUEZ</t>
  </si>
  <si>
    <t>https://okdiario.com/economia/2018/12/08/italia-credibilidad-presupuestos-pedro-sanchez-denunciar-ue-trato-discriminatorio-3437675#.XAuhfKqN9NI.twitter</t>
  </si>
  <si>
    <t>GIRONA - SPAIN</t>
  </si>
  <si>
    <t>NACÍ EL 24 NOV.EN BARBERÁ DEL VALLES,BARCELONA.ME GUSTA VIAJAR,EL DEPORTE,EL CINE Y LA CULTURA.SOY MUY SOCIABLE Y LEAL CON LOS AMIGOS.</t>
  </si>
  <si>
    <t>Mi predicción: Pedro Sánchez presentando los PGE en 3, 2, 1, ya para que se los tumben sus socios golpistas y proetarras e inmediatamente después envolviéndose en la bandera de España y convocando elecciones presentándose como el "adalid" de la lucha contra el separatismo.</t>
  </si>
  <si>
    <t>https://twitter.com/Bcnisnotcat_/status/1070801745968852992</t>
  </si>
  <si>
    <t>pic.twitter.com/HVD6msgDY1</t>
  </si>
  <si>
    <t>Madrid. España.</t>
  </si>
  <si>
    <t>Corredor. Hincha del Real Madrid. Fan de Bruce Springsteen. Seguidor de la F-1. Apasionado del deporte, vida sana, política con valores y desarrollo sostenible.</t>
  </si>
  <si>
    <t>Tabarnia, España</t>
  </si>
  <si>
    <t>Antonio Ramírez</t>
  </si>
  <si>
    <t>Los CDR planean colapsar Cataluña para recibir a Sánchez y los ministros el 21-D. Abajo, la actitud valiente de Pedro Sánchez, ante las amenazas de los independentistas...</t>
  </si>
  <si>
    <t>pic.twitter.com/5JQuXTKt4g</t>
  </si>
  <si>
    <t>No te lo tomes tan en serio que, para cinco minutos que estamos aquí...</t>
  </si>
  <si>
    <t>GNSHT!</t>
  </si>
  <si>
    <t>“El descalabrado PSOE de Pedro Sánchez paga el precio de ser el colaboracionista contumaz de los reaccionarios...”</t>
  </si>
  <si>
    <t>https://www.libertaddigital.com/opinion/eduardo-goligorsky/la-derrota-de-los-reaccionarios-86663/</t>
  </si>
  <si>
    <t>vlc</t>
  </si>
  <si>
    <t>"El hombre culto tiene el deber de ser intolerante." Nicolás Gómez Dávila</t>
  </si>
  <si>
    <t>Miky</t>
  </si>
  <si>
    <t>Sánchez pide incluir en la Constitución la igualdad entre hombres y mujeres...</t>
  </si>
  <si>
    <t>https://okdiario.com/espana/2018/12/07/pedro-sanchez-reformar-constitucion-incluir-igualdad-hombres-mujeres-articulo-14-desde-hace-40-anos-3437620?utm_campaign=ok&amp;utm_medium=Social&amp;utm_source=Facebook#Echobox=1544167062</t>
  </si>
  <si>
    <t>Andoain, España</t>
  </si>
  <si>
    <t>Miguel Pérez Pereira or Miguel de Jesús Pérez. Internet nick: Mikytoytoy. (Entrepreneur - Innovator - Gamer - Fighter - Global Observer) :D</t>
  </si>
  <si>
    <t>http://www.facebook.com/mikytoytoy</t>
  </si>
  <si>
    <t>Juan Antonio del Sol</t>
  </si>
  <si>
    <t>Comienza la comisión que investigará la tesis de Pedro Sánchez El PP pide la dimisión del presidente del Gobierno tras quedar constituida la comisión en el Senado:</t>
  </si>
  <si>
    <t>https://www.abc.es/espana/abci-arranca-comision-investigara-tesis-pedro-sanchez-201812050400_noticia.html?fbclid=IwAR0nc57e6yQi-sy6FAgNIaXBmi83NmZmvqIcRiFUU3rXd50VYotonza5uDI</t>
  </si>
  <si>
    <t>http://www.delsolmedina.com</t>
  </si>
  <si>
    <t>amparameque</t>
  </si>
  <si>
    <t>Pedro Sánchez desconoce la Constitución: pide reformarla para incluir la igualdad entre hombres y mujeres  vía @libertaddigital</t>
  </si>
  <si>
    <t>Buenos Aires, Argentina</t>
  </si>
  <si>
    <t>El derecho y el deber, son como palmeras: no dan fruto si no crecen uno al lado del otro.</t>
  </si>
  <si>
    <t>Yeray Honrado</t>
  </si>
  <si>
    <t>Pedro Sánchez se está ganando ser peor que Zapatero y con diferencia RT @eduardoinda: Pedro @SanchezCastejon ofrece a los separatistas reconocer a Cataluña como nación a cambio del ‘sí’ a los Presupuestos</t>
  </si>
  <si>
    <t>https://twitter.com/eduardoinda/status/1071325072353361921
https://okdiario.com/espana/cataluna/2018/12/08/sanchez-ofrece-separatistas-reconocer-cataluna-como-nacion-cambio-del-si-presupuestos-3439890?utm_campaign=inda&amp;utm_medium=Social&amp;utm_source=Twitter#Echobox=1544255299</t>
  </si>
  <si>
    <t>Católico y español. Tengo unas ideas, y estoy aquí para defenderlas. 🇪🇸🇪🇸🇪🇸</t>
  </si>
  <si>
    <t>Francisco J. Domingo</t>
  </si>
  <si>
    <t>Pedro Sánchez, quiere reformar la constitución para legalizar la discriminación al hombre. OLÉ TUS COJONES PEDRITO</t>
  </si>
  <si>
    <t>Periodistas</t>
  </si>
  <si>
    <t>El populismo de Pedro Sánchez se extiende al sector energético</t>
  </si>
  <si>
    <t>elEconomista.es</t>
  </si>
  <si>
    <t>¿Agotará la legislatura Pedro Sánchez?</t>
  </si>
  <si>
    <t>https://www.eleconomista.es/politica/noticias/9560918/12/18/El-socialismo-entra-en-panico-y-Moncloa-decide-agotar-la-legislatura.html</t>
  </si>
  <si>
    <t>Comunidad Valenciana, España</t>
  </si>
  <si>
    <t>Cuenta oficial de elEconomista.es. Facebook http://www.facebook.com/elEconomista.es Gracias por compartir con nosotros.</t>
  </si>
  <si>
    <t>http://www.eleconomista.es</t>
  </si>
  <si>
    <t>Una pequeña parte de separatistas violentos, alentados por los mensajes de políticos desleales a España que cobran por representarla en la CCAA, no puede mantener a Cataluña en la inestabilidad mientras se siguen marchando empresas. La indolencia de Pedro Sánchez nos arruinará. RT @RobertooFinch: @carlesenric La solución es un 155 duro y durante muchos años.</t>
  </si>
  <si>
    <t>https://twitter.com/RobertooFinch/status/1071348425394921472</t>
  </si>
  <si>
    <t>F.Javier Villalvilla</t>
  </si>
  <si>
    <t>ABC. "Los CDR planean reventar el Consejo de Ministros de Pedro Sánchez del día 21 en Barcelona"  Y Torra, Puig y su partido Junts apoyando a Sánchez en el Congreso...</t>
  </si>
  <si>
    <t>https://bit.ly/2ROHt9P</t>
  </si>
  <si>
    <t>Alcalá de Henares-Madrid-SPAIN</t>
  </si>
  <si>
    <t>ADE.Comparto actualidad polític,econ,sociedad,deportes,cultura,pref cine.Me gusta el sentido común q por desgracia muchas veces es el menos común d los sentidos</t>
  </si>
  <si>
    <t>Javier Larequi Fontaneda 🇪🇺</t>
  </si>
  <si>
    <t>Pedro Sánchez ve necesario el testimonio de las víctimas del terrorismo para que "nadie, nunca, cambie la historia"  vía @epnacional</t>
  </si>
  <si>
    <t>https://www.europapress.es/nacional/noticia-pedro-sanchez-ve-necesario-testimonio-victimas-terrorismo-nadie-nunca-cambie-historia-20181207184644.html</t>
  </si>
  <si>
    <t>Pamplona, Navarra</t>
  </si>
  <si>
    <t>19. Estudio Historia y Periodismo en la Universidad de Navarra. Escribo y opino en mi blog. Aprendo de Rafa Nadal.</t>
  </si>
  <si>
    <t>http://blog.javierlarequi.com</t>
  </si>
  <si>
    <t>Bolsamanía</t>
  </si>
  <si>
    <t>Money Talks | Pedro Sánchez se escapa vivo de las elecciones andaluzas, como el protagonista de Apocalypto, por @SegoviaEduardo</t>
  </si>
  <si>
    <t>https://pbs.twimg.com/media/DtrDCzAXQAY-09s.jpg</t>
  </si>
  <si>
    <t>Toda la #ÚltimaHora para el inversor informado. La web de la #Bolsa, la economía y los #mercados.</t>
  </si>
  <si>
    <t>http://www.bolsamania.com</t>
  </si>
  <si>
    <t>AlvaroYbarraPacheco</t>
  </si>
  <si>
    <t>Algunos analistas - yo se lo he leído a Ignacio Martínez - han recordado estos días la afirmación de Susana a Pedro Sánchez en las primarias: si yo empeoro los resultados del PSOE me voy a mi casa. Quien te ha visto y quien te ve.</t>
  </si>
  <si>
    <t>Periodista. Director del diario ABC de Sevilla</t>
  </si>
  <si>
    <t>http://abcdesevilla.es</t>
  </si>
  <si>
    <t>Me parece muy bien hacer un cordón sanitario contra Vox, pero antes y mucho más urgente es hacer un cordón sanitario contra los enajenados de los indepes y no ceo a Pedro Sánchez muy por la labor.  vía @elmundoes</t>
  </si>
  <si>
    <t>https://www.elmundo.es/opinion/2018/12/08/5c0a7228fc6c8346058b45e9.html</t>
  </si>
  <si>
    <t>MIGUEL ÁNGEL PÉREZ L</t>
  </si>
  <si>
    <t>Pedro Sánchez es tan inepto que, haciendo 'las cuentas de la lechera' de la experta en demoscopia, su 'amiga' Susana, en unas elecciones generales, descontando los votos de los que no son Pedro Sánchez, las pierde.</t>
  </si>
  <si>
    <t>Feliciano Samuel</t>
  </si>
  <si>
    <t>Pedro Sanchez hace de Torquemada contra el estado democratico de España</t>
  </si>
  <si>
    <t>Javier</t>
  </si>
  <si>
    <t>españa</t>
  </si>
  <si>
    <t>promotor de iniciativas</t>
  </si>
  <si>
    <t>Eduardoguillentablada66. Cubano y Español 100%.</t>
  </si>
  <si>
    <t>El nuevo PSOE, Cambia paulatinamente el "Color Rojo" de sus siglas por el "Color Morado". En cada Aparicion Publica. Mensaje Subliminar y transito a "LA PODEMIZACION". 1-Corbata de Pedro Sanchez en el Programa el Objetivo de la SECTA y con Macron. 2- Aparicion de Carmen Calvo.</t>
  </si>
  <si>
    <t>https://pbs.twimg.com/media/Dt4x08iXQAAZw02.jpg</t>
  </si>
  <si>
    <t>El concepto ideológico, Izquierda-Derecha es, Falso. En democracia los políticos son Perroflautas sinvergüenzas o gente con sentido común, con estos me quedo.</t>
  </si>
  <si>
    <t>Omaira</t>
  </si>
  <si>
    <t>Javier Make Up Studio</t>
  </si>
  <si>
    <t>Nueva noticia. Pedro Sánchez reconocerá el estado Catalán si Le Dan el apoyo para sacar los presupuestos. No doy crédito como se puede ser tan alimaña rastrera y como hay gente que aún vota a este personaje dantesco. Flipo colores</t>
  </si>
  <si>
    <t>Se feliz y deja ser feliz!!Vivir mi vida!!</t>
  </si>
  <si>
    <t>https://pbs.twimg.com/media/Dt4xRF9WoAAP9jh.jpg</t>
  </si>
  <si>
    <t>El Català Escèptic</t>
  </si>
  <si>
    <t>En marcha el dispositivo para habilitar una pista de aterrizaje en La Castellana, para que Pedro @sanchezcastejon pueda acudir con el Falcon @AvionPresidEsp :</t>
  </si>
  <si>
    <t>https://www.lavanguardia.com/politica/20181207/453408668752/boca-juniors-river-plate-final-copa-libertadores-pedro-sanchez.html</t>
  </si>
  <si>
    <t>Vilanova i la Geltrú, Tabàrnia</t>
  </si>
  <si>
    <t>Catalán sin evidencias de ventajas o beneficios con la independencia, por eso soy escéptico con el separatismo.</t>
  </si>
  <si>
    <t>Alessandro da Fiore</t>
  </si>
  <si>
    <t>"Que me bailen lo quitao" Pedro Sánchez Castejón Presidente del Gobierno España(Europa) Planeta Tierra(Vía láctea)</t>
  </si>
  <si>
    <t>en un hemisferio por la mitad</t>
  </si>
  <si>
    <t>Sueño con un mundo en que los negros y los blancos compartan colores y olores y los idiomas se aprendan por ósmosis y los chinos no hagan tantas fotos.</t>
  </si>
  <si>
    <t>http://vdoblevdoblevdoble.nosecuantos.es</t>
  </si>
  <si>
    <t>OKDIARIO</t>
  </si>
  <si>
    <t>Italia usa la nula credibilidad de los Presupuestos de Pedro @SanchezCastejon para denunciar en la UE trato discriminatorio Por @carloscuestaEM 👇</t>
  </si>
  <si>
    <t>https://okdiario.com/economia/2018/12/08/italia-credibilidad-presupuestos-pedro-sanchez-denunciar-ue-trato-discriminatorio-3437675?utm_campaign=ok&amp;utm_medium=Social&amp;utm_source=Twitter#Echobox=1544255969</t>
  </si>
  <si>
    <t>El sitio de los inconformistas. Dirigido por @eduardoinda. Síguenos en Facebook: http://facebook.com/okdiario.</t>
  </si>
  <si>
    <t>http://okdiario.com/</t>
  </si>
  <si>
    <t>L'Hospitalet de Llobregat</t>
  </si>
  <si>
    <t>"Podemitas e independentistas han difundido en Twitter una imagen en la que Abascal aparece besando la tumba de Franco, que pese a los esfuerzos de Pedro Sánchez todavía no se ha movido del Valle de los Caídos."</t>
  </si>
  <si>
    <t>https://okdiario.com/espana/2018/12/07/separatistas-manipulan-foto-abascal-mostrarle-besando-tumba-franco-3440935</t>
  </si>
  <si>
    <t>La Bruja Lola.🍊</t>
  </si>
  <si>
    <t>Si es que donde no hay, no se puede sacar... @sanchezcastejon , léase al menos La Constitución.</t>
  </si>
  <si>
    <t>https://www.libertaddigital.com/espana/2018-12-06/pedro-sanchez-desconoce-la-constitucion-pide-reformarla-para-incluir-la-igualdad-entre-hombres-y-mujeres-1276629507/amp.html?__twitter_impression=true</t>
  </si>
  <si>
    <t>Lo mejor contra el escorbuto es la VITAMINA C.</t>
  </si>
  <si>
    <t>eleonora fernandez</t>
  </si>
  <si>
    <t>https://okdiario.com/economia/2018/12/08/italia-credibilidad-presupuestos-pedro-sanchez-denunciar-ue-trato-discriminatorio-3437675#.XAuX4qqYslU.twitter</t>
  </si>
  <si>
    <t>El Intermedio</t>
  </si>
  <si>
    <t>.@DaniMateoAgain resuelve el misterio que tiene en vilo a toda España: "¿Quién es realmente Pedro Sánchez?"</t>
  </si>
  <si>
    <t>http://atres.red/0sseh10</t>
  </si>
  <si>
    <t>Ya conocen las noticias, ahora les contaremos la verdad... De L-J a las 21:30h, en @laSextaTV. Wyoming @sandrasabates11 Thais Villas @a_lo_gonzo @DaniMateoAgain</t>
  </si>
  <si>
    <t>http://www.lasexta.com/elintermedio</t>
  </si>
  <si>
    <t>Mario Montero 🇪🇺</t>
  </si>
  <si>
    <t>Socialdemócrata🌹 Europeísta 🇪🇺 ''La libertad no hace ni más ni menos felices a los hombres; los hace, sencillamente, hombres.'' Derecho y Políticas UC3M</t>
  </si>
  <si>
    <t>La Página Definitiva</t>
  </si>
  <si>
    <t>El intento de infiltración de LPD en el congreso de la CDU para poder festejar en directo lo de AKK ha fracasado. ¡Estos alemanes te exigen identificación y ni siquiera invocar a Pedro Sánchez, Baltasar Garzón o Santiago Abascal les ha impresionado lo suficiente! ;-p</t>
  </si>
  <si>
    <t>https://pbs.twimg.com/media/Dt4toCzX4AE9caa.jpg</t>
  </si>
  <si>
    <t>Twitter de La Página Definitiva (estarán por aquí Guillermo López y Andrés Boix)</t>
  </si>
  <si>
    <t>http://www.lapaginadefinitiva.com</t>
  </si>
  <si>
    <t>Predator güeno</t>
  </si>
  <si>
    <t>El dicho "Pedir peras al olmo" se le ocurrió a uno tras leer a gente sensata demandando de Pedro Sánchez y su cuadrilla respuestas lógicas.</t>
  </si>
  <si>
    <t>Sólo cazo atontaos</t>
  </si>
  <si>
    <t>La Información</t>
  </si>
  <si>
    <t>Pedro Sánchez quiere pasar sus primeras navidades como presidente del Gobierno fuera de La Moncloa, en dos lugares de gran atractivo: el Palacio de las Marismillas, en el coto de Doñana, y la residencia de La Mareta, en Lanzarote.</t>
  </si>
  <si>
    <t>http://lainfo.news/n6pns3</t>
  </si>
  <si>
    <t>Medio referente en empresas, economía y management. Nuevas tendencias en #EnOtraOrbita y TV en #Telediaria Facebook: 👇https://www.facebook.com/lainformacion/</t>
  </si>
  <si>
    <t>http://www.lainformacion.com</t>
  </si>
  <si>
    <t>Javier Barrientos</t>
  </si>
  <si>
    <t>El vacío en el escaño de Rajoy la tarde de la moción de censura de Pedro Sánchez presagiaba un nuevo orden, que no creo que sea precisamente este gobierno precario y provisional.</t>
  </si>
  <si>
    <t>Wally 🇮🇨 🇪🇸</t>
  </si>
  <si>
    <t>Filosofemas. Juicios ecuánimes. Encuestador socrático. Natura non nisi parendo vincitur.</t>
  </si>
  <si>
    <t>Islas Afortunadas, El Paraíso</t>
  </si>
  <si>
    <t>Hay una fuerza motriz más poderosa que el vapor, la electricidad y la energía atómica: LA VOLUNTAD - Albert Einstein</t>
  </si>
  <si>
    <t>Ana Cermeño</t>
  </si>
  <si>
    <t>Siguiente... El ex secretario general del PSOE gallego deja el partido por no compartir “casi nada de lo que está haciendo” Pedro Sánchez</t>
  </si>
  <si>
    <t>https://www.infolibre.es/noticias/politica/2018/12/07/pachi_vazquez_pide_baja_como_militante_del_psoe_por_no_compartir_casi_nada_que_esta_haciendo_direccion_federal_89638_1012.html</t>
  </si>
  <si>
    <t>Galicia / Madrid</t>
  </si>
  <si>
    <t>Mis flores favoritas son las nécoras. Mi número de la suerte el azul. Vivo en un Prodigioso Volcán. Junto letras en http://luzes.gal. Farlosofando.</t>
  </si>
  <si>
    <t>Catalunya En Comú Podem</t>
  </si>
  <si>
    <t>💬 "Parece que Aragonès quiera llevar a Esquerra hacia una nueva Convergència. Tiene que decidir qué quiere hacer. No habla ni de revertir recortes ni de reforma fiscal" Entrevista a @jessicaalbiach a 👉</t>
  </si>
  <si>
    <t>https://www.elperiodico.com/es/politica/20181207/entrevista-jessica-albiach-si-pedro-sanchez-no-escucha-catalunya-acabara-como-susana-diaz-7188106?utm_source=twitter&amp;utm_medium=social</t>
  </si>
  <si>
    <t>pic.twitter.com/KphJLlRFLf</t>
  </si>
  <si>
    <t>Tornem a posar al centre les polítiques socials!</t>
  </si>
  <si>
    <t>http://catalunyaencomupodem.cat</t>
  </si>
  <si>
    <t>Joan</t>
  </si>
  <si>
    <t>El PSOE ataca al PP Vox y Ciudadanos .. Pedro Sánchez ha pactado con Bildu y los independentistas .. los separatistas decían q Rajoy era una fábrica de independentistas pues ellos se han convertido en una fábrica de votantes de VOX. El 15%</t>
  </si>
  <si>
    <t>https://pbs.twimg.com/media/Dt4ryt8X4AQBauJ.jpg</t>
  </si>
  <si>
    <t>Me gustan los animales😼🐶 y las buenas personas👏El cine 📣en B/N y la vida en color🌺RCD Espanyol 💙⚪️💙</t>
  </si>
  <si>
    <t>Sergio Q1ta</t>
  </si>
  <si>
    <t>Creo que Ciudadanos quiere evitar la polarización excesiva, pero las amistades de Pedro Sánchez lo dificultan.</t>
  </si>
  <si>
    <t>España/Brasil</t>
  </si>
  <si>
    <t>Pensamiento crítico. No me gustan los extremos, ni las utopías. Pertenezco a la generación más equivocada de la historia. Emigrante sin esperanzas de volver.</t>
  </si>
  <si>
    <t>Libertad</t>
  </si>
  <si>
    <t>Los radicales que protege Torra ocuparán “con violencia” el Parlament y el Palau el 21D vía @cronicaglobal  LO ESTÁN ANUNCIANDO,¿OÍDO PEDRO SÁNCHEZ?</t>
  </si>
  <si>
    <t>https://cronicaglobal.elespanol.com/politica/radicales-torra-ocuparan-violencia-parlament-palau-21d_205293_102.html</t>
  </si>
  <si>
    <t>Barcelona (España)</t>
  </si>
  <si>
    <t>La Libertad es posiblemente la distinción fundamental del ser humano. Ser libre para acertar o equivocarse es irrenunciable,</t>
  </si>
  <si>
    <t>http://libertadunico.blogspot.com</t>
  </si>
  <si>
    <t>OPICANAL</t>
  </si>
  <si>
    <t>Lo mismo que Pedro Sánchez...ah no...que el no es legítimo ganador... Todo muy coherente. RT @MariaTabarnia: 🔴🔴🔴 El mitin de Celaá contra VOX desde Moncloa: «En Andalucía debe gobernar la "legítima" ganadora, Susana Díaz». E insta al PP y Cs que no pacten con @vox_es Pero, que en La Moncloa debe seguir gobernando Pedro Sánchez porque fue el legítimo perdedor.</t>
  </si>
  <si>
    <t>https://twitter.com/MariaTabarnia/status/1071115185040093184
https://www.libertaddigital.com/espana/2018-12-07/mitin-contra-vox-de-celaa-desde-moncloa-da-instrucciones-a-pp-y-cs-para-que-no-pacten-con-ellos-1276629533/</t>
  </si>
  <si>
    <t>Bogotá, D.C., Colombia</t>
  </si>
  <si>
    <t>Español, constitucionalista, demócrata, al margen de partidos y de ideologías. 🇪🇸.</t>
  </si>
  <si>
    <t>Comercio Jaén</t>
  </si>
  <si>
    <t>Desde @comercio_jaen nuestro más sentido pésame a la familia, amigos y a @AcilCca por el fallecimiento de Luis Pedro Sanchez. Un magnífico líder asociativo empresarial y mejor persona. D.E.P.</t>
  </si>
  <si>
    <t>https://pbs.twimg.com/media/Dt4rPFUXQAAbMgk.jpg</t>
  </si>
  <si>
    <t>Jaén, España</t>
  </si>
  <si>
    <t>Comercio Jaén ostenta la representación e interlocución del sector comercio y servicios en la provincia de Jaén.</t>
  </si>
  <si>
    <t>http://www.comerciojaen.com</t>
  </si>
  <si>
    <t>https://pbs.twimg.com/media/Dt4p2qyV4AEwADA.jpg</t>
  </si>
  <si>
    <t>El Mundo Catalunya</t>
  </si>
  <si>
    <t>Arran convoca protestas el 21-D contra la visita de Pedro Sánchez tras los incidentes de Terrassa y Girona  via @elmundoes</t>
  </si>
  <si>
    <t>https://www.elmundo.es/cataluna/2018/12/07/5c0acd4efdddffcfa28b45bf.html</t>
  </si>
  <si>
    <t>Cuenta de la redacción de EL MUNDO en Cataluña</t>
  </si>
  <si>
    <t>http://www.elmundo.es/catalunya.html</t>
  </si>
  <si>
    <t>#EXCLUSIVA de @carloscuestaEM 🔵 Pedro @SanchezCastejon ofrece a los separatistas reconocer a Cataluña como nación a cambio del ‘sí’ a los Presupuestos</t>
  </si>
  <si>
    <t>https://okdiario.com/espana/cataluna/2018/12/08/sanchez-ofrece-separatistas-reconocer-cataluna-como-nacion-cambio-del-si-presupuestos-3439890?utm_campaign=ok&amp;utm_medium=Social&amp;utm_source=Twitter#Echobox=1544255826</t>
  </si>
  <si>
    <t>Ángel R G</t>
  </si>
  <si>
    <t>Pedro Sánchez aleja la posibilidad de elecciones en marzo: “Seguiremos gobernando” | España | EL PAÍS  #NewsSuite . Más bien sería,seguiremos dando bandazos! Sr @sanchezcastejon lo mejor que puede usted hacer es convocar #EleccionesYa</t>
  </si>
  <si>
    <t>https://elpais.com/politica/2018/12/06/actualidad/1544108922_690929.html#?ref=rss&amp;format=simple&amp;link=seguir
http://bit.ly/Newssuiteapp</t>
  </si>
  <si>
    <t>Cumpleaños el 21 de Abril.</t>
  </si>
  <si>
    <t>Sergio Mompeán</t>
  </si>
  <si>
    <t>Me pregunto si lo de Francia también es causa de los CDR y la pasividad de Pedro Sánchez RT @apuntnoticies: Ja hi ha més de 350 persones detingudes a París.</t>
  </si>
  <si>
    <t>https://twitter.com/apuntnoticies/status/1071336917537615872</t>
  </si>
  <si>
    <t>https://pbs.twimg.com/media/Dt4nPd_W4AILCzM.jpg</t>
  </si>
  <si>
    <t>Alicante, UMH</t>
  </si>
  <si>
    <t>Medicina, Teatro, @compromis</t>
  </si>
  <si>
    <t>Carlos Díaz-Pache</t>
  </si>
  <si>
    <t>Si Pedro Sánchez no conocía el artículo 14 de la Constitución, ¿Cómo va a entender el 155?</t>
  </si>
  <si>
    <t>Política, tecnología, innovación... Secretario de Comunicación del @ppmadrid. En un proyecto ilusionante.</t>
  </si>
  <si>
    <t>http://www.ppmadrid.es</t>
  </si>
  <si>
    <t>Antonio Lola</t>
  </si>
  <si>
    <t>Sánchez reconocerá Cataluña como "nación" a cambio de que los independentistas acepten los Presupuestos</t>
  </si>
  <si>
    <t>https://twitter.com/sergiobarcelona/status/1071084869520887813
https://twitter.com/govern/status/1070715545622847488</t>
  </si>
  <si>
    <t>Diego Cruz</t>
  </si>
  <si>
    <t>La Constitución como herramienta de progreso. Artículo de @sanchezcastejon  vía @20m</t>
  </si>
  <si>
    <t>https://www.20minutos.es/opiniones/pedro-sanchez-constitucion-herramiento-progreso-3508547/?utm_source=twitter.com&amp;utm_medium=socialshare&amp;utm_campaign=mobile_amp</t>
  </si>
  <si>
    <t>Aquí mi blog personal</t>
  </si>
  <si>
    <t>Celebrando la existencia en torno a las palabras. ¿Conversamos?</t>
  </si>
  <si>
    <t>http://www.diariodeuntranseunte.es</t>
  </si>
  <si>
    <t>Hecho en España (Made in Spain) 🇪🇸</t>
  </si>
  <si>
    <t>Sí creímos q nada podía ser peor q los cambios de Pedro Sanchez, nos equivocamos. La ministra @carmencalvo_ provoca que cada vez que ella habla, suba el pan.</t>
  </si>
  <si>
    <t>▶Decimos lo que pensamos y creemos en la libertad y respeto a las personas, los extremismos no nos gustan.◀. #Tecnología, #Seguridad #consumo y #Servicios</t>
  </si>
  <si>
    <t>http://xn--espaa-rta.es</t>
  </si>
  <si>
    <t>Flor María Fernández</t>
  </si>
  <si>
    <t>Asturias ,Aviles.</t>
  </si>
  <si>
    <t>ESPAÑOLA. ASTURIANA DE AVILÉS.CATOLICA. ORGULLOSA DE SER ESPAÑOLA.</t>
  </si>
  <si>
    <t>La Otra Palencia</t>
  </si>
  <si>
    <t>Nacional | Segun el CIS , Pedro Sanchez ganaría por mayoría abosulta en todos los países de la Unión Europea</t>
  </si>
  <si>
    <t>Palencia</t>
  </si>
  <si>
    <t>Las noticias que nadie se atreve a contar de la mano de Anacleto, el de Husillos. Todos los contenidos son ficcion.</t>
  </si>
  <si>
    <t>https://www.facebook.com/LaOtraPalencia/</t>
  </si>
  <si>
    <t>Silvia Sanz</t>
  </si>
  <si>
    <t>No olviden que los violentos CDR cuentan con el permiso de Torra y la aprobación del Presidente del Gobierno de España, Pedro Sánchez. RT @TarragonaCdr: Seguim tallant la frontera amb l'Estat espanyol. Som a l'Ampolla tallant l'AP-7, vine a donar suport!</t>
  </si>
  <si>
    <t>https://twitter.com/TarragonaCdr/status/1071316887919882240</t>
  </si>
  <si>
    <t>https://pbs.twimg.com/media/Dt4VBVWW4AAMD83.jpg</t>
  </si>
  <si>
    <t>Periodista. Licenciada en Ciencias de la Información. Editora de contenidos.</t>
  </si>
  <si>
    <t>InfoÁguilas</t>
  </si>
  <si>
    <t>Nuevo artículo del historiador Pedro Francisco Sánchez, para nuestra Web, con el título 'El caso de Manuela Ramírez Soto en la historia de la medicina: Una joven aguileña que donó su piel para curar las quemaduras de un marinero inglés'</t>
  </si>
  <si>
    <t>http://www.infoaguilas.es/detalle-reportaje.php?id=3005</t>
  </si>
  <si>
    <t>Águilas, España</t>
  </si>
  <si>
    <t>Web multimedia donde encontrarás: música, información de servicio, promociones y noticias de Águilas</t>
  </si>
  <si>
    <t>http://www.infoaguilas.es</t>
  </si>
  <si>
    <t>Losantos manda al manicomio a Pedro Sánchez: 'Este tío está loco, con esa sonrisa fatua que parece un imbécil'</t>
  </si>
  <si>
    <t>http://www.periodistadigital.com/periodismo/radio/2018/12/05/losantos-manda-manicomio-pedro-sanchez-este-tio-esta-loco-sonrisa-fatua-parece-imbecil.shtml</t>
  </si>
  <si>
    <t>La AP7 está cortada por los terroristas de Torra y de Pedro Sánchez. Los Mossos mirando, que era lo que querían sus jefes políticos. Como un día pase algo y no hagamos nada, nos comemos la independencia.</t>
  </si>
  <si>
    <t>El Periódico</t>
  </si>
  <si>
    <t>ReyesDiaz</t>
  </si>
  <si>
    <t>Información, participación y conversación con El Periódico. 🗣️Si te interesa la política, síguenos en Telegram https://telegram.me/elperiodico</t>
  </si>
  <si>
    <t>http://www.elperiodico.com</t>
  </si>
  <si>
    <t>Española,del Real Madrid .Mi voto siempre para el PP .Viva España. Podemitas e izquierdosos no serán bienvenidos aquí.</t>
  </si>
  <si>
    <t>Cordoba Times</t>
  </si>
  <si>
    <t>Damisela 🇪🇸🇪🇸</t>
  </si>
  <si>
    <t>Córdoba, Argentina</t>
  </si>
  <si>
    <t>Diario digital de noticias de Córdoba, República Argentina.</t>
  </si>
  <si>
    <t>http://www.cordobatimes.com</t>
  </si>
  <si>
    <t>Española y antipodemos, mas bien de VOX. Amante de los animales. Si algún día tengo que bajar la mirada, será para admirar mis botas. BE HAPPY &amp; ENJOY!!!</t>
  </si>
  <si>
    <t>Francisco Rubiales</t>
  </si>
  <si>
    <t>Les apuesto que Pedro Sánchez, por su política de abandono del deber, cobardía y complicidad con los independentistas catalanes, terminará juzgado y denigrado como el peor político español desde Fernando VII, superando al inepto ZP.</t>
  </si>
  <si>
    <t>Sevilla (Spain)</t>
  </si>
  <si>
    <t>Doctor en Periodismo, empresario, escritor, profesor universitario, conferenciante y bloguero que lucha por la regeneración y por una democracia real.</t>
  </si>
  <si>
    <t>http://www.votoenblanco.com</t>
  </si>
  <si>
    <t>Zibelina 🇪🇸 🇪🇺 🌎</t>
  </si>
  <si>
    <t>https://okdiario.com/economia/2018/12/08/italia-credibilidad-presupuestos-pedro-sanchez-denunciar-ue-trato-discriminatorio-3437675</t>
  </si>
  <si>
    <t>Mundo, Europa, España</t>
  </si>
  <si>
    <t>Ciudadana demócrata no nacionalista interesada por la informacion mundial, defensora de la cultura humanista y lectora permanente. No sigo cuentas protegidas</t>
  </si>
  <si>
    <t>Zero</t>
  </si>
  <si>
    <t>Pedro Sánchez ofrece a los separatistas reconocer a Cataluña como nación a cambio del 'sí' a los Presupuestos</t>
  </si>
  <si>
    <t>Miro siempre por la mirilla antes de abrir la puerta. Creando nuestro futuro.</t>
  </si>
  <si>
    <t>Moncho Borrajo</t>
  </si>
  <si>
    <t>Pedro Sánchez vive en otro país. ¡Cuidado Pedro que desprecias al lobo! Y ya te han hecho la música.</t>
  </si>
  <si>
    <t>Aquí no entra mi biografía, je je y como no me callo, pues eso...</t>
  </si>
  <si>
    <t>http://el-petirrojo-y-yo.es</t>
  </si>
  <si>
    <t>Fin de Semana</t>
  </si>
  <si>
    <t>.@crisschlichting:"¿Cómo pueden decir que ha de gobernar el partido más votado si Pedro Sánchez tiene 84 escaños, nunca ha ganado unas elecciones y gobierna con el apoyo de Podemos y los independentistas? ¿Es que piensan que el votante es tonto? #Directo:</t>
  </si>
  <si>
    <t>http://ww.cope.es/qgrig</t>
  </si>
  <si>
    <t>https://pbs.twimg.com/media/Dt4hRjnWoAAmgzp.jpg</t>
  </si>
  <si>
    <t>900 50 60 06. Magacín de fin de semana de la Cadena COPE con Cristina López Schlichting. Sábados y domingos de 10 a 14h.</t>
  </si>
  <si>
    <t>http://www.cope.es/programas/fin-de-semana</t>
  </si>
  <si>
    <t>Bilbao</t>
  </si>
  <si>
    <t>Begoña Sevilla</t>
  </si>
  <si>
    <t>https://okdiario.com/economia/2018/12/08/italia-credibilidad-presupuestos-pedro-sanchez-denunciar-ue-trato-discriminatorio-3437675#.XAuKEOccK-k.twitter</t>
  </si>
  <si>
    <t>Irlanda del Norte, Reino Unido</t>
  </si>
  <si>
    <t>Pero no existe Ley algun que pare las locuras de Pedro Sanchez.? No se le puede inhabilitar por demencia? Al fin consige que le aprueben lo presuuestos a sambio de nombrar a cataluña nación! Sanchez hundió al PSOE y hundirá a España. RT @manuroque21: El hunde patrias de Sánchez se baja los dodotis y ofrece a los separatistas reconocer a Cataluña como nación a cambio del 'sí' a los Presupuestos.</t>
  </si>
  <si>
    <t>https://twitter.com/manuroque21/status/1071325889059807232
https://okdiario.com/espana/cataluna/2018/12/08/sanchez-ofrece-separatistas-reconocer-cataluna-como-nacion-cambio-del-si-presupuestos-3439890#.XAuE476qwJY.twitter</t>
  </si>
  <si>
    <t>Argentina</t>
  </si>
  <si>
    <t>Luis SD</t>
  </si>
  <si>
    <t>Atención increíble foto de Pedro Sánchez desplazándose al Mercadona</t>
  </si>
  <si>
    <t>https://pbs.twimg.com/media/Dt4hMsjW0AArmK4.jpg</t>
  </si>
  <si>
    <t>Cui bono?</t>
  </si>
  <si>
    <t>marisa paredes</t>
  </si>
  <si>
    <t>Las cuentas de Pedro Sánchez y la senda a ninguna parte  vía @elEconomistaes</t>
  </si>
  <si>
    <t>http://www.eleconomista.es/opinion-blogs/noticias/9464980/10/18/Las-cuentas-de-pedro-Sanchez-y-la-senda-a-ninguna-parte.html</t>
  </si>
  <si>
    <t>Filosofo del andamio</t>
  </si>
  <si>
    <t>El Gobierno aprueba la senda de déficit para relanzar los presupuestos @lavanguardia</t>
  </si>
  <si>
    <t>http://shr.gs/upPqoVR</t>
  </si>
  <si>
    <t>Pues hablando de todo y sin saber de nada..... lo mejor y lo peor. ¡¡¡</t>
  </si>
  <si>
    <t>https://pbs.twimg.com/media/Dt4g0ewWwAU-aK3.jpg</t>
  </si>
  <si>
    <t>🇦🇷 LenguajeExclusivo 😜</t>
  </si>
  <si>
    <t>El Gobierno aprueba la senda de déficit para relanzar los presupuestos</t>
  </si>
  <si>
    <t>https://www.lavanguardia.com/economia/20181207/453403582708/deficit-gobierno-presupuestos-pedro-sanchez-consejo-de-ministros.html</t>
  </si>
  <si>
    <t>I live in Peronia the best  country .. .
No one is crazy here, only a different reality is lived.</t>
  </si>
  <si>
    <t>❤️💙❤️Noticias diarias y acotaciones ... Argentina es posible o más de lo mismo?... Política, pintura, arte, paisajes, energías renovables, bolsa... ❤️💙❤️😜</t>
  </si>
  <si>
    <t>Másclaroelagua</t>
  </si>
  <si>
    <t>Nooooo, está Pedro Sanchez porque desalojó del gobierno a un grupo de políticos pertenecientes a un partido lleno de corruptos RT @MariaTabarnia: 🔴🔴🔴 El mitin de Celaá contra VOX desde Moncloa: «En Andalucía debe gobernar la "legítima" ganadora, Susana Díaz». E insta al PP y Cs que no pacten con @vox_es Pero, que en La Moncloa debe seguir gobernando Pedro Sánchez porque fue el legítimo perdedor.</t>
  </si>
  <si>
    <t>https://twitter.com/mariatabarnia/status/1071115185040093184
https://www.libertaddigital.com/espana/2018-12-07/mitin-contra-vox-de-celaa-desde-moncloa-da-instrucciones-a-pp-y-cs-para-que-no-pacten-con-ellos-1276629533/</t>
  </si>
  <si>
    <t>elasterisco.es</t>
  </si>
  <si>
    <t>"Durante una semana de declaraciones oficiales el Presidente de Gobierno, Pedro Sánchez, y su Ministro de Asuntos Exteriores, Josep Borrell, proclamaron que España no aprobaría el Acuerdo de retirada del Reino Unido de la Unión Europea". @RafaelCalduch</t>
  </si>
  <si>
    <t>https://www.elasterisco.es/gibraltar-y-el-brexit/</t>
  </si>
  <si>
    <t>Comprometidos con la defensa y promoción del conocimiento. Tu colaboración es un apoyo necesario. https://www.elasterisco.es/suscripciones-a-el-asterisco</t>
  </si>
  <si>
    <t>http://www.elasterisco.es</t>
  </si>
  <si>
    <t>España en peligro</t>
  </si>
  <si>
    <t>¿Por qué los socialistas decentes no echan a Pedro Sánchez?</t>
  </si>
  <si>
    <t>http://xfru.it/47Z2Vu</t>
  </si>
  <si>
    <t>Por qué España no desaparezca</t>
  </si>
  <si>
    <t>Alfacebook 🇪🇸</t>
  </si>
  <si>
    <t>El populismo de Pedro Sánchez se extiende al sector energético. España tiene uno de los precios de la electricidad más altos de Europa y el plan del Gobierno lo aumentaría todavía más.</t>
  </si>
  <si>
    <t>Zaragoza 🇪🇸🇪🇸</t>
  </si>
  <si>
    <t>La política de izquierdas de este pais huele a rancio. 🇪🇸🇪🇸</t>
  </si>
  <si>
    <t>https://pbs.twimg.com/media/Dt4eoiiVYAAG94j.jpg</t>
  </si>
  <si>
    <t>Odalbat</t>
  </si>
  <si>
    <t>https://okdiario-com.cdn.ampproject.org/v/s/okdiario.com/economia/2018/12/08/italia-credibilidad-presupuestos-pedro-sanchez-denunciar-ue-trato-discriminatorio-3437675/amp?amp_js_v=a2&amp;amp_gsa=1&amp;usqp=mq331AQHCAFYAYABAQ%3D%3D#referrer=https%3A%2F%2Fwww.google.com&amp;amp_tf=De%20%251%24s&amp;ampshare=https%3A%2F%2Fokdiario.com%2Feconomia%2F2018%2F12%2F08%2Fitalia-credibilidad-presupuestos-pedro-sanchez-denunciar-ue-trato-discriminatorio-3437675</t>
  </si>
  <si>
    <t>Liberar la libertad, mi libertad no es el poder de los malos, mis obligaciones son los derechos de otros, menos derechos y mas obligaciones</t>
  </si>
  <si>
    <t>Pedro Sánchez desconoce la Constitución: pide reformarla para incluir la igualdad entre hombres y mujeres</t>
  </si>
  <si>
    <t>Antoni Camps ///</t>
  </si>
  <si>
    <t>Se puede ser más irresponsable? Pues, cuidado, con Pedro Sánchez al volante, la irresponsabilidad sólo puede ir a más. Tremendo!! RT @ElMundoEspana: El Gobierno aprueba el mismo objetivo de déficit que ya rechazó el Congreso y que Bruselas no se cree</t>
  </si>
  <si>
    <t>https://twitter.com/ElMundoEspana/status/1071019986179776512
https://www.elmundo.es/espana/2018/12/07/5c0a65b1fdddffeeb78b4598.html</t>
  </si>
  <si>
    <t>Menorca</t>
  </si>
  <si>
    <t>Licenciado en Ciencias Económicas. Diputado en el Parlament Balear por Menorca. Portavoz de Hacienda. Provida. Y lo más importante, casado y padre de dos hijas.</t>
  </si>
  <si>
    <t>http://antoniocampscasasnovas.balearweb.net/</t>
  </si>
  <si>
    <t>Miguel Fuentes🇪🇸</t>
  </si>
  <si>
    <t>¿Lo dice Usted como Pedro Sánchez o como Presidente del Gobierno? Debería poner algo para que los españoles podamos diferenciarlo: Un emoticono de una rosa por ejemplo si es Pedro 🥀o el de una Corona de Laurel si es el Todopoderoso 🤴🏻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</si>
  <si>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1 y 1 son 2. Las 24 horas, los 365 dias Ceuta</t>
  </si>
  <si>
    <t>Marisol Tabuyo</t>
  </si>
  <si>
    <t>#engineer#carreer#talent#entrepreneur#creativity #teacher#consultora#ingeniera#pseudoescritora proactiva y apasionada de la vida</t>
  </si>
  <si>
    <t>http://about.me/marisoltabuyo</t>
  </si>
  <si>
    <t>evanesvencia</t>
  </si>
  <si>
    <t>Si cree que le conviene, Pedro Sánchez estaría dispuesto a hacer incluso algo bueno.</t>
  </si>
  <si>
    <t>Santiago Navajas</t>
  </si>
  <si>
    <t>Pedro Sánchez pretende cargarse la Constitución introduciendo la ideología de género. La Constitución del 78 establece ya la igualdad entre hombres y mujeres (art. 14) y ampara a las personas con discapacidad (art. 49). Lo que pretende ahora el PSOE es discriminar a los hombres RT @sanchezcastejon: Nuestra Constitución debe reconocer a las personas con #discapacidad como ciudadanos libres e iguales. Ese es el objetivo del Anteproyecto de reforma del art. 49 aprobado hoy en el #CMin. La dignidad y los derechos de este colectivo han de estar reflejados en nuestra Carta Magna.</t>
  </si>
  <si>
    <t>Ricardo</t>
  </si>
  <si>
    <t>Profesor de Filosofía. Crítico político, cinematográfico y literario. santiagonavajas@gmail.com</t>
  </si>
  <si>
    <t>http://cineypolitica.blogspot.com.es/</t>
  </si>
  <si>
    <t>https://okdiario.com/economia/2018/12/08/italia-credibilidad-presupuestos-pedro-sanchez-denunciar-ue-trato-discriminatorio-3437675#.XAuFZ0W3yZs.twitter</t>
  </si>
  <si>
    <t>AVNF</t>
  </si>
  <si>
    <t>Creía que no podía hacerse peor que con ZP. Y llegó el Doctor Pedro Sánchez!!!!</t>
  </si>
  <si>
    <t>Solo cosas serias</t>
  </si>
  <si>
    <t>Otti Mayo🇪🇸</t>
  </si>
  <si>
    <t>Cangas del Narcea y sus gentes en mi corazón.</t>
  </si>
  <si>
    <t>Pedro Sánchez ha ofrecido a Torras&amp;Junqueras el acuerdo d q si apoyan los presupuestos, retirarán de toda Cataluña a la Guardia Civil y a la Policía Nacional.Ante esta barbaridad&amp;amp;traición, pásalo para que toda España sepa hasta que punto es capaz de ceder este miserable</t>
  </si>
  <si>
    <t>DISIDENTE. Por los Derechos Civiles, las Libertades&amp;Dignidad Humanas. Por la unidad nacional</t>
  </si>
  <si>
    <t>Eduardo Inda</t>
  </si>
  <si>
    <t>Pedro @SanchezCastejon ofrece a los separatistas reconocer a Cataluña como nación a cambio del ‘sí’ a los Presupuestos</t>
  </si>
  <si>
    <t>https://okdiario.com/espana/cataluna/2018/12/08/sanchez-ofrece-separatistas-reconocer-cataluna-como-nacion-cambio-del-si-presupuestos-3439890?utm_campaign=inda&amp;utm_medium=Social&amp;utm_source=Twitter#Echobox=1544255299</t>
  </si>
  <si>
    <t>Director de @OKDIARIO</t>
  </si>
  <si>
    <t>https://www.facebook.com/indaok/</t>
  </si>
  <si>
    <t>Lferrere</t>
  </si>
  <si>
    <t>Si y Pedro Sánchez también lo va a firmar y los medios no dicen nada, hay que divulgarlo para que llegue a todo el pueblo y sepan lo que van a firmar casi a escondidas RT @azota_progres: Pacto para la migración de la ONU . (O como forzar a los europeos a aceptar a millones de africanos que nos quieren traer) Pásalo</t>
  </si>
  <si>
    <t>https://twitter.com/azota_progres/status/1070944195584712705</t>
  </si>
  <si>
    <t>https://pbs.twimg.com/media/DtzCD4-WkAA3u8I.jpg</t>
  </si>
  <si>
    <t>Política y Gobierno Instituciones Periodistas Artistas españoles Artistas internacionales Música Prensa</t>
  </si>
  <si>
    <t>Reservado. Ciudadano del mundo.</t>
  </si>
  <si>
    <t>Nuestro presidente de España Sanchez ofrece a los independentistas conceder la nación a Cataluña a cambio del SÍ a los presupuestos. Pedro vende hasta su madre con tal de estar 5 minutos más en la Moncloa.</t>
  </si>
  <si>
    <t>Bloqueado por el iluminado de Puigdemont, el terrorista Otegi y el Podemita Iglesias</t>
  </si>
  <si>
    <t>CIUDADANO MIKE</t>
  </si>
  <si>
    <t>En @ecinter: Qué hay detrás del acuerdo entre Pedro Sánchez y Xi Jinping . No es de extrañar que lo engañen como un chino</t>
  </si>
  <si>
    <t>Edad Media</t>
  </si>
  <si>
    <t>Tengo únicamente una neurona activa y, últimamente, cabreada. En fin, con ella tengo que vivir.</t>
  </si>
  <si>
    <t>Farmaceutico por vocación quiero una farmacia asistencial.Librepensador , rebelde y políticamente incorrecto.Construyendo el futuro.Liberal solo en economía.</t>
  </si>
  <si>
    <t>http://www.farmaciagonzalezvazquez.es</t>
  </si>
  <si>
    <t>#VÍDEO | @pedroj_ramirez, sobre las elecciones andaluzas: "Está sonando la marcha fúnebre para Sánchez" ▶</t>
  </si>
  <si>
    <t>http://telemd.es/iu8fg2</t>
  </si>
  <si>
    <t>pic.twitter.com/z9O3FTfNoM</t>
  </si>
  <si>
    <t>NJ69🇪🇸</t>
  </si>
  <si>
    <t>.@sanchezcastejon @interiorgob: No a la expulsión de la #GuardiaCivil de #Navarra para pagar favores a nacionalistas y filoetarras. ¡La @guardicivil se queda en Navarra! #Manifestacion4dicGCPamplona. FIRMA:</t>
  </si>
  <si>
    <t>http://www.citizengo.org/hazteoir/pc/166961-pedro-sanchez-vende-guardia-civil?tc=tw&amp;tcid=52579705</t>
  </si>
  <si>
    <t>mito ❄️</t>
  </si>
  <si>
    <t>Pedro Sánchez pacta con esta gente, a quienes los socialistas consideran constitucionales frente a VOX RT @govern: #President @QuimTorraiPla: “La Constitució mai serà reformada per la via federal o confederal. L’única manera que Catalunya avanci és seguir la via eslovena: la llibertat”</t>
  </si>
  <si>
    <t>https://twitter.com/govern/status/1070715545622847488?s=19</t>
  </si>
  <si>
    <t>Si lo único que tienes es un martillo, creerás que todo a tu alrededor son clavos</t>
  </si>
  <si>
    <t>Ángel Moreno</t>
  </si>
  <si>
    <t>Jubilado, abuelo por vocación, coplero por afición y amante de la naturaleza. Extremeño, andaluz y muy español. Mis RT y FV solo para tuits en positivo</t>
  </si>
  <si>
    <t>JOSE-LUIS</t>
  </si>
  <si>
    <t>Comienza la comisión que investigará la tesis de Pedro Sánchez  vía @ABCespana</t>
  </si>
  <si>
    <t>https://www.abc.es/espana/abci-arranca-comision-investigara-tesis-pedro-sanchez-201812050400_noticia.html#ns_campaign=rrss-inducido&amp;ns_mchannel=abc-es&amp;ns_source=tw&amp;ns_linkname=noticia-video&amp;ns_fee=0</t>
  </si>
  <si>
    <t>Extremadura olvidada</t>
  </si>
  <si>
    <t>Nos Manipulan 🔊</t>
  </si>
  <si>
    <t>Arturo, perfecta definición de Pablo Iglesias y de sus seguidores (Pedro Sanchez incluido entre sus seguidores) RT @perezreverte: "Frente a una multitud analfabeta o con escasa cultura, un tirano, pero también un revolucionario, pueden lograr resultados sorprendentes. Se encuentran ante una masa homogénea que se dejará mover con sólo una palanca". (Ernst Jünger)</t>
  </si>
  <si>
    <t>https://twitter.com/perezreverte/status/1071045025642020869</t>
  </si>
  <si>
    <t>Barcelona, España 🇪🇸</t>
  </si>
  <si>
    <t>➡️ Soy Español y no soy facha, soy Catalan y no soy independentista. Son dos cosas difíciles de entender para los populistas manipulados de la ‘Raza Superior’.</t>
  </si>
  <si>
    <t>R.maria</t>
  </si>
  <si>
    <t>Jéssica Albiach: «Si Sánchez no escolta Catalunya, acabarà com Susana Díaz» : ya tenemos la sentencia parece, para el presidente del gobierno 😳</t>
  </si>
  <si>
    <t>https://www.elperiodico.cat/ca/politica/20181207/entrevista-jessica-albiach-si-pedro-sanchez-no-escolta-catalunya-acabara-com-susana-diaz-7188106?utm_source=twitter&amp;utm_medium=social</t>
  </si>
  <si>
    <t>El verdadero centro izquierda es del PSOE, los demás extremos</t>
  </si>
  <si>
    <t>https://m.eldiario.es/politica/Pedro-Sanchez-Casado-Rivera-electoral_0_843416123.html</t>
  </si>
  <si>
    <t>spain</t>
  </si>
  <si>
    <t>Jordi Rengel</t>
  </si>
  <si>
    <t>El desorden lo provoca su partido,el PP, condenado por corrupción y crispador activo de malestar en la sociedad. @lesoir @bbc @afpfr @BILD @DerSPIEGEL @tijd @AP Pablo Casado pide a Pedro Sánchez que ponga orden en Catalunya y aplique el 155 @lavanguardia</t>
  </si>
  <si>
    <t>CAP LA MINA</t>
  </si>
  <si>
    <t>Treball social sanitari; Trabajo social; Social worker; Trebaill sociaux; Laboro sociale! !</t>
  </si>
  <si>
    <t>Enrique Fdez-Miranda. Duque de Fernández-Miranda</t>
  </si>
  <si>
    <t>Pedro Sánchez desconoce la Constitución: pide reformarla para incluir la igualdad entre hombres y mujeres  vía @libertaddigital ...de verdad que leer no duele nada, nada, nada.</t>
  </si>
  <si>
    <t>Madrid. España</t>
  </si>
  <si>
    <t>Asturiano viviendo en Madrid. Médico. Decano de la Diputación de la Grandeza de España y Títulos del Reino. Cultivador de bonsais.</t>
  </si>
  <si>
    <t>Ke Les Den</t>
  </si>
  <si>
    <t>No se puede ser más sinvergüenza y antiespañol que este okupa de la Moncloa. Asco de Pedro @sanchezcastejon</t>
  </si>
  <si>
    <t>Opino lo que me da la real gana. VIVA ESPAÑA, VIVA EL REY, VIVA LA GUARDIA CIVIL Y VIVA LA CONSTITUCION ESPAÑOLA (en particular el Art 155 AHORA MAS QUE NUNCA)</t>
  </si>
  <si>
    <t>Eso es delito. A Pedro Sánchez se le debería detener en Moncloa RT @CasoAislado_Es: Pedro Sánchez reconocerá a Cataluña como nación con tal de lograr que los Presupuestos salgan adelante.</t>
  </si>
  <si>
    <t>https://twitter.com/casoaislado_es/status/1071318670083846144
https://casoaislado.com/pedro-sanchez-reconocera-cataluna-como-nacion-a-cambio-de-que-los-independentistas-acepten-los-presupuestos/</t>
  </si>
  <si>
    <t>Bloqueo Insultadores</t>
  </si>
  <si>
    <t>#FelizSábado Los politicos, medios de comunicación y demás subencionados tachan a Vox de ultraderecha. Pedro Sánchez gobierna con Bildu y con uno que llama a los Españoles bestias carroneras,víboras o hienas. ¿Soy yo, o la gente desvaría?</t>
  </si>
  <si>
    <t>Trabajé en el Mar, el Campo y la Industria, pero el trabajo mas duro de mi vida, sigue siendo: No mentir.</t>
  </si>
  <si>
    <t xml:space="preserve">Zaragoza </t>
  </si>
  <si>
    <t>Casa Rural Lo Soto</t>
  </si>
  <si>
    <t>Atención: El MERCADILLO DE PEDRO abre todos los días 24 horas al día. Comienza el ofertón de la semana ‼️</t>
  </si>
  <si>
    <t>https://okdiario.com/espana/cataluna/2018/12/08/sanchez-ofrece-separatistas-reconocer-cataluna-como-nacion-cambio-del-si-presupuestos-3439890?utm_campaign=ok&amp;utm_medium=Social&amp;utm_source=Facebook#Echobox=1544254431</t>
  </si>
  <si>
    <t>El Badén, Orihuela.</t>
  </si>
  <si>
    <t>Casa de huerta donde podrá disfrutar de agradables temperaturas todo el año. Rodeada de naranjos y limoneros y un frondoso jardín con piscina y barbacoa.</t>
  </si>
  <si>
    <t>http://www.losoto.com</t>
  </si>
  <si>
    <t>Alberto Neira</t>
  </si>
  <si>
    <t>Si esto no produce la automática activación del 155 CE habrá que querellarse contra Pedro Sánchez y todo el Consejo de Ministros.</t>
  </si>
  <si>
    <t>https://pbs.twimg.com/media/Dt4WpfbW0AAsg52.jpg</t>
  </si>
  <si>
    <t>Lima, Peru</t>
  </si>
  <si>
    <t>Abogado y consultor en derecho público e internacionalización. Licenciado por la @UAM_Madrid. @dchoglobalhoy @analistastc @tocalayvete @twiceconsulting</t>
  </si>
  <si>
    <t>http://www.derechoyestado.com</t>
  </si>
  <si>
    <t>Caso Aislado</t>
  </si>
  <si>
    <t>Pedro Sánchez reconocerá a Cataluña como nación con tal de lograr que los Presupuestos salgan adelante.</t>
  </si>
  <si>
    <t>Cuenta oficial de @CasoAislado_es. Medio independiente.</t>
  </si>
  <si>
    <t>http://www.casoaislado.com</t>
  </si>
  <si>
    <t>fran</t>
  </si>
  <si>
    <t>LOS CINCO JINTES DEL APOCALIPSIS. Por eso hay que apoyar a Pedro Sánchez en las generales y en las autonómicas igual aunque nos duela lo que le hicieron a Pedro sino es tamos perdidos con los que nos viene encima 🌹🌹</t>
  </si>
  <si>
    <t>https://pbs.twimg.com/media/Dt4WPTOX4AAuCX2.jpg</t>
  </si>
  <si>
    <t>REPUBLICANO,,,,,,(UN REY NO ES REY POR VOLUNTAD DIVINA,SI NO POR LO BIEN QUE SE LO MONTARON DIVINAMENTE SUS ANTEPASADOS)</t>
  </si>
  <si>
    <t>Juani Núñez</t>
  </si>
  <si>
    <t>Pedro Sánchez confía en quedarse con el centro político de cara al nuevo ciclo electoral  vía @eldiarioes</t>
  </si>
  <si>
    <t>https://m.eldiario.es/_3245823b</t>
  </si>
  <si>
    <t>Concejala PSOE en Ayto Membrilla. Pragmática. Filosofías progresistas. Idealismo racional.</t>
  </si>
  <si>
    <t>Arwen</t>
  </si>
  <si>
    <t>CRISTIANA. Memoria, Dignidad y Justicia! SI a la vida sin excepciones! Declaración del comunismo como crimen contra la humanidad. Del PP. Insulto=bloq. NO VOX</t>
  </si>
  <si>
    <t>catymu</t>
  </si>
  <si>
    <t>Jesús Uría</t>
  </si>
  <si>
    <t>Bilbao España</t>
  </si>
  <si>
    <t>https://www.facebook.com/profile.php?id=100011075051553</t>
  </si>
  <si>
    <t>https://www.facebook.com/groups/1523383624657240/?fref=nf</t>
  </si>
  <si>
    <t>Comillas_biblioteca</t>
  </si>
  <si>
    <t>#Novedades en @Comillas_biblio Tomás Meabe : fundador de las Juventudes Socialistas (En el Centenario de su fallecimiento, 1915-2015) / Enrique Moral (coord.) ; Pedro Sánchez ... [et al.].</t>
  </si>
  <si>
    <t>http://biblioteca.upcomillas.es/digital/abnetopac.exe?TITN=575946</t>
  </si>
  <si>
    <t>https://pbs.twimg.com/media/Dt4UNRgW0AEscg2.jpg</t>
  </si>
  <si>
    <t>Biblioteca de la Universidad Pontificia Comillas</t>
  </si>
  <si>
    <t>http://www.comillas.edu/es/biblioteca</t>
  </si>
  <si>
    <t>Isabel Barreto</t>
  </si>
  <si>
    <t>Gibraltar y España en el Brexit "la posición declarada por el Presidente Pedro Sánchez puede considerarse como mínimo triunfalista y como máximo propagandística, pero en ningún caso veraz y rigurosa" El tiempo pone en su sitio todo RT @RafaelCalduch: Ya he publicado en El Asterisco todas las cartas intercambiadas entre la UE y el Reino Unido sobre Gibraltar tras el Brexit que no figuran en las webs oficiales del Gobierno español</t>
  </si>
  <si>
    <t>https://twitter.com/RafaelCalduch/status/1070822548579987457
https://www.elasterisco.es/gibraltar-y-el-brexit/</t>
  </si>
  <si>
    <t>Guadalcanal, España</t>
  </si>
  <si>
    <t>pido respeto y sentido común</t>
  </si>
  <si>
    <t>https://es.wikipedia.org/wiki/Isabel_Barreto</t>
  </si>
  <si>
    <t>*CATATUMBOREBELDE</t>
  </si>
  <si>
    <t>Pedro Sánchez asistirá a la final de la Copa Libertadores en el Bernabéu  .</t>
  </si>
  <si>
    <t>http://j.mp/2rpCMY8</t>
  </si>
  <si>
    <t>Lancaster, Pennsylvania USA</t>
  </si>
  <si>
    <t>Guayabero Zulíano del Catatumbo Venezolano</t>
  </si>
  <si>
    <t>La Bodega BBC</t>
  </si>
  <si>
    <t>Pedro Sánchez acudirá al River vs Boca de la Copa Libertadores en el Santiago Bernabéu</t>
  </si>
  <si>
    <t>http://atres.red/f0lew3</t>
  </si>
  <si>
    <t>La cervecería pequeña más grande de Colombia Bogota Beer Company</t>
  </si>
  <si>
    <t>https://www.facebook.com/labodegabbc</t>
  </si>
  <si>
    <t>NotiWeb-ON 19.5k</t>
  </si>
  <si>
    <t>LA VERDAD es nuestra fortaleza</t>
  </si>
  <si>
    <t>#LaSalida</t>
  </si>
  <si>
    <t>http://www.instagram.com/notiwebon</t>
  </si>
  <si>
    <t>Conlanoticia</t>
  </si>
  <si>
    <t>Latinoamerica</t>
  </si>
  <si>
    <t>Hablamos sobre lo que muchos callan...Te invitamos a un debate mundial ¿Aceptas?</t>
  </si>
  <si>
    <t>Información Jaén</t>
  </si>
  <si>
    <t>El Presidente de @freixenet, José Luis Bonet, el cocinero Estrella Michelín, Pedro Sánchez, el Restaurante Bagá, "Quesos y Besos" o la Cooperativa @picualia, son algunos de los galardonados cuyos premios se entregarán el 19 de enero en Baeza  @AytoBaeza</t>
  </si>
  <si>
    <t>http://www.ijaen.es/texto-diario/mostrar/1274751/conocen-premiados-cuchara-palo-2018</t>
  </si>
  <si>
    <t>Nuevo diario digital de noticias de Jaén y la provincia. Visítanos en http://www.ijaen.es y ponte en contacto en redaccion@ijaen.es</t>
  </si>
  <si>
    <t>http://www.ijaen.es</t>
  </si>
  <si>
    <t>Antonio M. Membrilla</t>
  </si>
  <si>
    <t>A cambio de un SÍ en los Presupuestos, Pedro Sánchez...</t>
  </si>
  <si>
    <t>Filólogo y profesor de Lengua castellana y Literatura Aprendo, enseño, innovo, comunico</t>
  </si>
  <si>
    <t>http://educalengua.wordpress.com</t>
  </si>
  <si>
    <t>La Patilla</t>
  </si>
  <si>
    <t>Información e Investigación. También puedes encontrarnos en Instagram: http://Instagram.com/la_patilla y Telegram: http://telegram.me/la_patilla 📲</t>
  </si>
  <si>
    <t>http://lapatilla.com</t>
  </si>
  <si>
    <t>Laia</t>
  </si>
  <si>
    <t>Pablo Casado pide a Pedro Sánchez que ponga orden en Catalunya y aplique el 155 @lavanguardia</t>
  </si>
  <si>
    <t>Tomen conciencia de quienes sustentan y son los apoyos del Gobierno de Pedro Sánchez. Queda claro en este hilo de 3 twit. ⬇⬇ RT @OrbitaEduardo: 1/2. Quiero que tengáis conciencia de quienes sostienen y son los socios del Presidente de Gobierno de España, Pedro Sánchez. Secretario G. del PSOE. "Un mercenario Politico, Comunista y antisistema. Que "SABE HACER COCTELES MOLOTOV Y CAZA FACHAS"</t>
  </si>
  <si>
    <t>https://twitter.com/OrbitaEduardo/status/1071171501725024256?s=19</t>
  </si>
  <si>
    <t>pic.twitter.com/HfWQxVGiXu</t>
  </si>
  <si>
    <t>Juana Campillo</t>
  </si>
  <si>
    <t>Gobierno de España: DIMISIÓN DE PEDRO SÁNCHEZ - ¡Firma la petición!  vía @change_es</t>
  </si>
  <si>
    <t>http://chng.it/JLgfNfHd</t>
  </si>
  <si>
    <t xml:space="preserve">Valencia. nacida en Covadonga </t>
  </si>
  <si>
    <t>Gran soñadora, sueña por un mundo mejor, que haya paz en él, la historia y monumentos de cada nación sean respetados, las vidas,respeto, respeto ¿existes?</t>
  </si>
  <si>
    <t>José Muñoz</t>
  </si>
  <si>
    <t>Italia usa la nula credibilidad de los Presupuestos de Sánchez para denunciar en la UE trato discriminatorio.</t>
  </si>
  <si>
    <t>https://okdiario.com/economia/2018/12/08/italia-credibilidad-presupuestos-pedro-sanchez-denunciar-ue-trato-discriminatorio-3437675#.XAt2gOOWGn4.twitter</t>
  </si>
  <si>
    <t>Los Barrios,Cádiz.</t>
  </si>
  <si>
    <t>Después de 43 años de trabajo,toca parar.Nueva etapa a la que adaptarse. Cuesta hacerlo.Aficionado ultrafondo</t>
  </si>
  <si>
    <t>lasteles.com</t>
  </si>
  <si>
    <t>Mientras Pedro Sánchez celebraba las bondades de la Constitución en Madrid, su partido hacía lo contrario en Cataluña. Lo hacía a través...</t>
  </si>
  <si>
    <t>http://latelenegocios.com/sanchez-ofrece-a-los-separatistas-reconocer-a-cataluna-como-nacion-a-cambio-del-si-a-los-presupuestos-okdiario</t>
  </si>
  <si>
    <t>Plataforma de información online con más de 50000 vídeos temáticos y canales en directo para mantenerte siempre informado.</t>
  </si>
  <si>
    <t>http://lasteles.com/es/index.php</t>
  </si>
  <si>
    <t>tomas martinez CUCO</t>
  </si>
  <si>
    <t>UN MUNDO ASI (MAQUETA) (TOMAS ALFONSO MARTINEZ SANCHEZ) "COMPOSITOR",CUCO,PEDRO EKONG</t>
  </si>
  <si>
    <t>http://www.youtube.com/watch?v=HTADQ-w77bw</t>
  </si>
  <si>
    <t>COMPOSITOR...YOUTUBE..cuco17755 (Tomas Alfonso Martinez Sanchez)</t>
  </si>
  <si>
    <t>david</t>
  </si>
  <si>
    <t>Dice el CIS de Tezanos que el 84% quiere que siga la monarquia, y de ese 84% el 96% quiere que el Rey sea Pedro Sanchez, ahí lo dejo, que no te lo cuenten</t>
  </si>
  <si>
    <t>You only live once. De madrid, madridista y español. Living la vida en cadiz. Autónomo</t>
  </si>
  <si>
    <t>JD Alvarez 🇪🇸 🇻🇪</t>
  </si>
  <si>
    <t>Hay que pedir responsabilidades a Pablo iglesia que fue quien pidio esto en los medios de comunicación. Y a Pedro Sánchez por permitirlo.</t>
  </si>
  <si>
    <t>https://www.facebook.com/100009241843233/posts/2152667078384666/</t>
  </si>
  <si>
    <t>Santa Cruz de Tenerife</t>
  </si>
  <si>
    <t>Si promete quitar a quien + tiene para repartir entre los que - tienen. Lo que haran es quitarte a ti para llenarse los bolsillos ellos. me das unfollow yo tamb</t>
  </si>
  <si>
    <t>... Su reino, el reino de Isabel Celaá, el reino de Pedro Sánchez...no es de este mundo...</t>
  </si>
  <si>
    <t>https://pbs.twimg.com/media/Dt4JrK1X4AAbBmq.jpg</t>
  </si>
  <si>
    <t>Javier Moreno</t>
  </si>
  <si>
    <t>El CIS otorga la victoria en las elecciones a Pedro Sanchez. Teniendo en cuenta sus ultimos sondeos, yo si fuera el PSOE me preocuparía.</t>
  </si>
  <si>
    <t>Euskadi</t>
  </si>
  <si>
    <t>Escritor en proceso, cinéfilo y cinéfago, informático, lector, gamer,mitómano, coleccionista. nihilista, ateo, misántropo.</t>
  </si>
  <si>
    <t>https://www.instagram.com/javiermorenocalvete/</t>
  </si>
  <si>
    <t>🇪🇸 Jos_man 🇪🇸</t>
  </si>
  <si>
    <t>Un Español, orgulloso de serlo, al que no le gusta el socialismo de ningún tipo 🇪🇸</t>
  </si>
  <si>
    <t>Isabel Arce Garcia</t>
  </si>
  <si>
    <t>Me encantan los animales y dedico parte de mi tiempo en ayudarles...soy antitaurina y me siento orgullosa de serlo, NO AL MALTRATO ANIMAL</t>
  </si>
  <si>
    <t>Gonza</t>
  </si>
  <si>
    <t>La Ser, ..., falta la tuerka y el máster de Pedro Sánchez. RT @luismejiagarcia: Algunos medios están publicando desmentidos de Vox. Está muy bien que lo hagan. Si queréis rebatirle todo a vuestro cuñado en Navidad, os dejo algunos que me han parecido bastante buenos ⬇️.</t>
  </si>
  <si>
    <t>http://eldiario.es
https://twitter.com/luismejiagarcia/status/1070975259539632128</t>
  </si>
  <si>
    <t>Ciudad del Betis</t>
  </si>
  <si>
    <t>Un beticismo unido hace un Betis campeón.</t>
  </si>
  <si>
    <t>M50manu</t>
  </si>
  <si>
    <t>El Mundo @elmundoes  Yo confie muchos años desde Pedro Sanchez nunca mas</t>
  </si>
  <si>
    <t>https://www.pscp.tv/w/btRGUTgzMDY4OXwxWXFKRHlhUkJiRHhW6mtr_yU1erigVbeFkXyDwhlfgT-PuovkCXVmKbSstqE=</t>
  </si>
  <si>
    <t>Una sonrrisa es la llave secreta que abre muchos corazones</t>
  </si>
  <si>
    <t>Pepe Lopez</t>
  </si>
  <si>
    <t>https://okdiario.com/economia/2018/12/08/italia-credibilidad-presupuestos-pedro-sanchez-denunciar-ue-trato-discriminatorio-3437675#.XAtvUAU4otk.twitter</t>
  </si>
  <si>
    <t>Soy libre y no sigo ningún patrón</t>
  </si>
  <si>
    <t>Yanayer Veintitres</t>
  </si>
  <si>
    <t>¿Qué tiene Pedro Sánchez contra su suegro, el de las saunas gays? El PSOE propone multar a los clientes de la prostitución</t>
  </si>
  <si>
    <t>Nacido en el año del Perro.</t>
  </si>
  <si>
    <t>María de Tabarnia</t>
  </si>
  <si>
    <t>Combatiendo en Cataluña la manipulación y mentiras de los nazis/lazis independentistas.💪💪💪💪💪</t>
  </si>
  <si>
    <t>David López Vizcaíno</t>
  </si>
  <si>
    <t>Buenos días a pesar de Pedro Sánchez y Pablo Echenique.</t>
  </si>
  <si>
    <t>Madrid (1970). Doctor en Geografía e Historia (1997). Profesor de Enseñanza Secundaria, escritor (Violeta, Cuatro mujeres y Ojos verdes) y bloguero.</t>
  </si>
  <si>
    <t>http://www.firmamentocultural.blogspot.com.es/</t>
  </si>
  <si>
    <t>Carlos Bernuy-Lopez</t>
  </si>
  <si>
    <t>AT</t>
  </si>
  <si>
    <t>Que desgracia tan grande tener semejante traidor a españa en el gobierno . @sanchezcastejon debería convocar elecciones urgentemente. Esta situación le supera. Pedro Sánchez es un INCAPAZ. RT @lazaroelmundo: Si el gobierno autonómico no garantiza la seguridad y la libertad de los ciudadanos, debería ser el Gobierno central quien se hiciera cargo. Pero claro, estamos negociando los presupuestos</t>
  </si>
  <si>
    <t>https://twitter.com/lazaroelmundo/status/1071157725449588737
https://twitter.com/Tonicanto1/status/1070979425452417024</t>
  </si>
  <si>
    <t>Sandviken (Suecia)</t>
  </si>
  <si>
    <t>Ingeniero en pilas de combustible en Sandvik (Suecia). Activista por vencer las desigualdades a través del conocimiento y la educación. Cuenta personal.</t>
  </si>
  <si>
    <t>https://carlosbernuylopez.wordpress.com/</t>
  </si>
  <si>
    <t>Tabarnia</t>
  </si>
  <si>
    <t>Alfonso Rojo López</t>
  </si>
  <si>
    <t>Jaime Peñafiel incendia La Moncloa hablando de la homosexualidad de unas ministras de Pedro Sánchez</t>
  </si>
  <si>
    <t>https://www.periodistadigital.com/periodismo/prensa/2018/12/08/jaime-penafiel-incendia-lamoncloa-hablando-homosexualidad-ministras-sanchez.shtml</t>
  </si>
  <si>
    <t>Director de Periodista Digital. Cuenta Oficial</t>
  </si>
  <si>
    <t>http://www.periodistadigital.com</t>
  </si>
  <si>
    <t>🅰️hora Cantabria</t>
  </si>
  <si>
    <t>🇪🇸NACIONAL | Un tuit de Pedro Sánchez el día del aniversario de la Constitución proponiendo reformarla para incluir la "igualdad entre hombres y mujeres" provoca decenas de respuestas en las redes</t>
  </si>
  <si>
    <t>https://pbs.twimg.com/media/Dt4D8c_X4AE1f4N.jpg</t>
  </si>
  <si>
    <t>Social Media 2.0 líder en Cantabria. Última hora urgente. Todo lo crucial al minuto. Periodistas titulados. FB/Twitter/Telegram/Youtube/Instagram/Android app</t>
  </si>
  <si>
    <t>http://t.me/ahoracantabria</t>
  </si>
  <si>
    <t>A. Viera</t>
  </si>
  <si>
    <t>https://okdiario.com/espana/cataluna/2018/12/08/sanchez-ofrece-separatistas-reconocer-cataluna-como-nacion-cambio-del-si-presupuestos-3439890#.XAtnkW_oA5E.twitter</t>
  </si>
  <si>
    <t>Cataluña (ESPAÑA)    🇪🇺</t>
  </si>
  <si>
    <t>“El silencio es el auténtico rasgo diferencial de Cataluña; nadie quiere hacer algo que vaya contra las esencias de la tribu.” (Albert Boadella)</t>
  </si>
  <si>
    <t>https://pbs.twimg.com/media/Dt3-WGFWwAAbrKA.jpg</t>
  </si>
  <si>
    <t>David</t>
  </si>
  <si>
    <t>Blog País Bizarro</t>
  </si>
  <si>
    <t>La trama filantrópica de Soros es muy rentable. Gracias a los miles y miles de propagandistas e intrigantes organizados gobierna un tipo como Pedro Sánchez (o Lula o CFK) que toma decisiones que hunden sectores en los que los fondos de inversión de Soros no tienen activos. Listo.</t>
  </si>
  <si>
    <t>Santander, España</t>
  </si>
  <si>
    <t>Colombia</t>
  </si>
  <si>
    <t>Sin un consenso básico, las discusiones tienden a ser sobre las personas que participan en ellas. Por eso bloqueo al que discute mis puntos de vista esenciales.</t>
  </si>
  <si>
    <t>http://paisbizarro.org</t>
  </si>
  <si>
    <t>ParaLaLibertad</t>
  </si>
  <si>
    <t>DERECHA SIN DERECHO  ABC-IGNACIO CAMACHO La facultad de interpretar «pro domo sua» los resultados electorales solo corresponde en España a Pedro Sánchez Ala portavoz del Gobierno, Isabel Celaá, parece disipársele la lucidez cuando...</t>
  </si>
  <si>
    <t>https://ift.tt/2L2cc0r</t>
  </si>
  <si>
    <t>Victoria Juárez</t>
  </si>
  <si>
    <t>Qué crack!!!! 🤣🤣🤣🤣🤣🤣 Pedro Sánchez desconoce la Constitución: pide reformarla para incluir la igualdad entre hombres y mujeres- Libertad Digital | Versión Móvil (mobile)</t>
  </si>
  <si>
    <t>Alcalá de Henares, España</t>
  </si>
  <si>
    <t>#StopJudeoCristianofobia #StopFeminismoRadical Viva España! Viva nuestra bandera! Vivan nuestras FCSE!</t>
  </si>
  <si>
    <t>Leticiasincorona</t>
  </si>
  <si>
    <t>pedro sanchez castejon</t>
  </si>
  <si>
    <t>Okdinero</t>
  </si>
  <si>
    <t>https://okdiario.com/economia/2018/12/08/italia-credibilidad-presupuestos-pedro-sanchez-denunciar-ue-trato-discriminatorio-3437675?utm_term=Autofeed&amp;utm_medium=Social&amp;utm_source=Twitter#Echobox=1544249062</t>
  </si>
  <si>
    <t>Javier Herrero</t>
  </si>
  <si>
    <t>-Asturias, España-</t>
  </si>
  <si>
    <t>Gruñiendo a Diestra y Siniestra ....</t>
  </si>
  <si>
    <t>Europa Press</t>
  </si>
  <si>
    <t>#LoMásDestacado | Pedro Sánchez ve necesario el testimonio de las víctimas del terrorismo para que "nadie, nunca, cambie la historia"</t>
  </si>
  <si>
    <t>http://ow.ly/IutK30mUbEe</t>
  </si>
  <si>
    <t>La agencia de noticias privada líder en España | Síguenos también en Facebook: http://www.facebook.com/europapress.es e Instagram: https://www.instagram.com/europapress/</t>
  </si>
  <si>
    <t>http://www.europapress.es</t>
  </si>
  <si>
    <t>Manuel Aguilar 🎗</t>
  </si>
  <si>
    <t>El gobierno no sabe qué hacer con los militares profranquistas  vía @diario_16</t>
  </si>
  <si>
    <t>http://mediterraneo.diario16.com/gobierno-pedro-sanchez-iu-militares-profranquistas/</t>
  </si>
  <si>
    <t>Diario16</t>
  </si>
  <si>
    <t>#Actualidad | El gobierno no sabe qué hacer con los militares profranquistas Por Diario16</t>
  </si>
  <si>
    <t>Diario 16 Digital. Análisis, opinión, actualidad y más. Facebook: https://www.facebook.com/Diario16/ Telegram: https://t.me/Diario16Info</t>
  </si>
  <si>
    <t>http://www.diario16.com</t>
  </si>
  <si>
    <t>José A. Herce</t>
  </si>
  <si>
    <t>No está mal visto. El caso es que alguien se dé cuenta de que el centro está huérfano desde que el PP eligió a Casado. La ironía es que lo diga el propio Sr. Casado. Pero compitiendo con UP y/o con VOX no se gana el centro, más bien se lo abandona.</t>
  </si>
  <si>
    <t>#Economista interdisciplinar. Analista de #tendencias sobre #longevidad, #pensiones, #DisrupciónDigital y cambio estructural. Profesor @Afi_es</t>
  </si>
  <si>
    <t>https://www.jaherce.com/</t>
  </si>
  <si>
    <t>Miguel Damiani</t>
  </si>
  <si>
    <t>He añadido un vídeo a una lista de reproducción de @YouTube ( - España: Pedro Sánchez se reúne en secreto</t>
  </si>
  <si>
    <t>Murcia</t>
  </si>
  <si>
    <t>http://youtu.be/h460ssWCo58?a</t>
  </si>
  <si>
    <t>Arequipa</t>
  </si>
  <si>
    <t>Cristiano, católico. Profesor de TIC, experto en e-learning. Ageadradecido a Dios por Bendiciones recibidas Catholic firs, ICT Teacher, e-learning expert</t>
  </si>
  <si>
    <t>http://about.me/migueldamiani</t>
  </si>
  <si>
    <t>Me ha gustado un vídeo de @YouTube ( - España: Pedro Sánchez se reúne en secreto con George Soros).</t>
  </si>
  <si>
    <t>https://pbs.twimg.com/media/Dt3r1nPXcAETZW5.jpg</t>
  </si>
  <si>
    <t>thor_4</t>
  </si>
  <si>
    <t>Abucheos a Pedro Sánchez</t>
  </si>
  <si>
    <t>http://videos.elmundo.es/v/0_lwslz5du-abucheos-a-pedro-sanchez</t>
  </si>
  <si>
    <t>Soy amante de la tecnología, los gadgets, la informática, el cine, las series, las consolas,los moviles, los videojuegos etc..(un geek) y ahora podcast propio.</t>
  </si>
  <si>
    <t>Radio Huancavilca830</t>
  </si>
  <si>
    <t>Pedro Sánchez asistirá a la final de la Copa Libertadores en el Bernabéu</t>
  </si>
  <si>
    <t>http://bit.ly/2UoMmrB</t>
  </si>
  <si>
    <t>https://pbs.twimg.com/media/Dt0dswVW4AY2O_p.jpg</t>
  </si>
  <si>
    <t>Guayaquil - Ecuador</t>
  </si>
  <si>
    <t>830 AM. Tenemos Noticias, Deportes y Música de Ecuador y el mundo - http://Instagram.com/radiohuancavil…</t>
  </si>
  <si>
    <t>http://www.radiohuancavilca.com.ec</t>
  </si>
  <si>
    <t>antonio</t>
  </si>
  <si>
    <t>Pedro Sánchez abandona Cataluña</t>
  </si>
  <si>
    <t>CLP</t>
  </si>
  <si>
    <t>miguelsincajal</t>
  </si>
  <si>
    <t>¿A una final hija de la violencia? #EleccionesGeneralesYa Pedro Sánchez asistirá a la Final de la Libertadores en el Bernabéu  vía @20m</t>
  </si>
  <si>
    <t>https://www.20minutos.es/noticia/3511142/0/pedro-sanchez-asistira-final-libertadores-bernabeu/?utm_source=twitter.com&amp;utm_medium=socialshare&amp;utm_campaign=mobile_web</t>
  </si>
  <si>
    <t>Chamán Sin Fronteras</t>
  </si>
  <si>
    <t>Nada es como es sino como se recuerda. Curandero de Familia</t>
  </si>
  <si>
    <t>Instituto Cato</t>
  </si>
  <si>
    <t>"El domingo, los andaluces tuvieron la ocasión de decir con su voto que no les gusta cómo va España, ni les gusta tampoco que les den lecciones los que tienen tanto de lo que avergonzarse" Javier Fernández-Lasquetty.</t>
  </si>
  <si>
    <t>https://buff.ly/2EhAset</t>
  </si>
  <si>
    <t>Washington, DC</t>
  </si>
  <si>
    <t>La página en español del @catoinstitute.</t>
  </si>
  <si>
    <t>http://www.elcato.org</t>
  </si>
  <si>
    <t>https://pbs.twimg.com/media/Dt3XxBGU0AEjuJe.jpg</t>
  </si>
  <si>
    <t>SebastianasPeru</t>
  </si>
  <si>
    <t>Hasta con Jimena se mete Lourdes Sanchez se burla de Lali con Bumeran y le dice...... llama Santi : el moco Laura: Negra Villegas Pampita: Saco de Cuernos Sol: Ameba y Pedro Alfonso es su amigo???? bueno si es un circo tanto mote y burla por el raiting bien por ellos.</t>
  </si>
  <si>
    <t>pic.twitter.com/Io5IK5etVp</t>
  </si>
  <si>
    <t>Con cariño @SzuritaOficial / Del rebaño @LUPITAMARTINEZA y @MarcoASolis</t>
  </si>
  <si>
    <t>NotiPicante!</t>
  </si>
  <si>
    <t>https://pbs.twimg.com/media/Dt3UK1yWsAALk22.jpg</t>
  </si>
  <si>
    <t>Noticias diarias con un toque de picante</t>
  </si>
  <si>
    <t>juan fco cabrera romero</t>
  </si>
  <si>
    <t>La facultad de interpretar «pro domo sua» los resultados electorales solo corresponde en España a Pedro Sánchez Ala portavoz...</t>
  </si>
  <si>
    <t>http://lector.kioskoymas.com/epaper/showlink.aspx?bookmarkid=G4R420ZJ2ZD2&amp;issue=21942018120800000000001001&amp;article=bdcaa8ab-5544-4fbd-94ce-871f6246dcbc</t>
  </si>
  <si>
    <t>Ayamonte, España</t>
  </si>
  <si>
    <t>Orgulloso de haber nacido en la Puerta de España.</t>
  </si>
  <si>
    <t>Mundo Sport ml</t>
  </si>
  <si>
    <t>Mundial 2030 España: Pedro Sánchez ofrece a Marruecos una oferta conjunta con Portugal para la Copa Mundial 2030</t>
  </si>
  <si>
    <t>http://mundosport.ml/mundial-2030-espana-pedro-sanchez-ofrece-a-marruecos-una-oferta-conjunta-con-portugal-para-la-copa-mundial-2030/</t>
  </si>
  <si>
    <t>https://pbs.twimg.com/media/Dt3OfEdVsAATpBe.jpg</t>
  </si>
  <si>
    <t>http://mundosport.ml</t>
  </si>
  <si>
    <t>|Rossy Sanchez|¤</t>
  </si>
  <si>
    <t>Me ha gustado un vídeo de @YouTube ( - Pedro Capó, Farruko - Calma Remix - Letra).</t>
  </si>
  <si>
    <t>http://youtu.be/b4ssMYIa95w?a</t>
  </si>
  <si>
    <t>MONTERREY.N.L</t>
  </si>
  <si>
    <t>Infobae Deportes</t>
  </si>
  <si>
    <t>http://bit.ly/2rrGQr8</t>
  </si>
  <si>
    <t>Tierra</t>
  </si>
  <si>
    <t>https://pbs.twimg.com/media/Dt2lvUjWwAAjXnu.jpg</t>
  </si>
  <si>
    <t>El deporte con tu estilo... Todas las noticias en un único lugar, con la inmediatez que necesitás para mantenerte al día. https://app.infobae.com/#deportes</t>
  </si>
  <si>
    <t>http://infobae.com</t>
  </si>
  <si>
    <t>Ignacio del Río 🇪🇸🇪🇺</t>
  </si>
  <si>
    <t>¡Por Dios, que alguien le avise que la copa del ganador no la tiene que recoger el! Pedro Sánchez asistirá a la final de la Copa Libertadores en el Bernabéu @lavanguardia</t>
  </si>
  <si>
    <t>Arquitecto curioso o curioso arquitecto. No lo he decidido, 🤔</t>
  </si>
  <si>
    <t>ʙɪʟʟʏ ʀᴜssᴏ.</t>
  </si>
  <si>
    <t>|| Esto parece el típico tuit de Pedro Sánchez en 2012 RT @imnctabadguy: Noche de birrassss.</t>
  </si>
  <si>
    <t>https://twitter.com/imnctabadguy/status/1071236389960908800</t>
  </si>
  <si>
    <t>𝑵𝒖𝒆𝒗𝒂 𝒀𝒐𝒓𝒌.</t>
  </si>
  <si>
    <t>˗ˋ〔ＢｌａｃｋＢｉｒｄ〕ˎ- ✛ ˹ᴄ̶ᴇ̶ʀ̶ʙ̶ᴇ̶ʀ̶ᴜ̶s̶ ̶s̶ϙ̶ᴜ̶ᴀ̶ᴅ̶ ̶ᴍ̶ᴇ̶ᴍ̶ʙ̶ᴇ̶ʀ̶.̶ ↻ sᴘᴇᴄɪᴀʟ ғᴏʀᴄᴇs ᴍᴀʀɪɴᴇ ᴠᴇᴛᴇʀᴀɴ.˼ ❐ ┌𝐀𝐍𝐕𝐈𝐋'𝐒 𝐂𝐄𝐎┘ ⊰ ❛━𝑾𝒉𝒐'𝒔 ＰＲＥＴＴＹ 𝒏𝒐𝒘?❜ ⊱</t>
  </si>
  <si>
    <t>http://marvelcinematicuniverse.wikia.com/wiki/Billy_Russo</t>
  </si>
  <si>
    <t>💦Aguas Neutrales</t>
  </si>
  <si>
    <t>Pedro Sánchez anuncia que presentará los Presupuestos en enero</t>
  </si>
  <si>
    <t>https://www.huffingtonpost.es/2018/12/04/pedro-sanchez-entrevista-telecinco-pedro-piqueras-tras-elecciones-andaluzas_a_23608490/</t>
  </si>
  <si>
    <t>https://pbs.twimg.com/media/Dt3LC4OWkAAgLST.jpg</t>
  </si>
  <si>
    <t>El poder reside en las cosas que nos unen, no en las que nos separan ¡Bienvenido a @AguasNeutrales!</t>
  </si>
  <si>
    <t>Colombia sin Comunismo</t>
  </si>
  <si>
    <t>¿Qué tiene Pedro Sánchez contra su suegro, el de las saunas gays? El PSOE propone multar a los...</t>
  </si>
  <si>
    <t>http://dlvr.it/Qt6P0V</t>
  </si>
  <si>
    <t>https://pbs.twimg.com/media/Dt3KuLRU4AA1K1C.jpg</t>
  </si>
  <si>
    <t>Alejandome del Comunismo</t>
  </si>
  <si>
    <t>Noticias de Colombia y España. Centro Democratico y Uribista. Libertario que rechaza tiranias, abusadores de poder y Nuevo Orden Mundial.</t>
  </si>
  <si>
    <t>https://www.youtube.com/watch?v=IZfcG0rPxrs</t>
  </si>
  <si>
    <t>https://pbs.twimg.com/media/Dt3Kn2WX4AAXL9c.jpg</t>
  </si>
  <si>
    <t>https://pbs.twimg.com/media/Dt0dqt2W0AAeg8s.jpg</t>
  </si>
  <si>
    <t>JoséManuel Barcelona</t>
  </si>
  <si>
    <t>Ridículo apoteósico: Pedro Sánchez pide reformar la Constitución para incluir un artículo... que ya existe  vía @MediterraneoDGT</t>
  </si>
  <si>
    <t>https://www.mediterraneodigital.com/espana/espana/ridiculo-apoteosico-pedro-sanchez-pide-reformar-la-constitucion-para-incluir-un-articulo-que-ya-existe.html?fbclid=IwAR3DtGpDPLbmYc_hr8SyULrmZzwPJizoOQAH0HvEIXFhYnrliPzrtz81568</t>
  </si>
  <si>
    <t>https://pbs.twimg.com/media/Dt3HBRxW0AAkrss.jpg</t>
  </si>
  <si>
    <t>TN Show</t>
  </si>
  <si>
    <t>Lourdes Sánchez y Diego Ramos homenajearon a Freddie Mercury con Pedro Alfonso y Muscari vestidos de mujer</t>
  </si>
  <si>
    <t>https://tn.com.ar/show/showmatch/bailando-2018-lourdes-sanchez-y-diego-ramos-homenajearon-freddie-mercury_922905</t>
  </si>
  <si>
    <t>Lo que no te podés perder del mundo de la farándula. Escándalos, looks, todo lo que pasa en Hollywood y la TV argentina.</t>
  </si>
  <si>
    <t>http://tn.com.ar/show</t>
  </si>
  <si>
    <t>YO🇦🇷</t>
  </si>
  <si>
    <t>Embole todo lo que incluya a Lourdes Sanchez...... es un bodio total y si el sumas a Pedro Alfonso, PEOR. @Showmatch2018TV</t>
  </si>
  <si>
    <t>El que no estuvo en las malas que no venga a joder en las buenas. 116.5/2.7/001.6</t>
  </si>
  <si>
    <t>🇪🇸 Isabel 🇪🇸</t>
  </si>
  <si>
    <t>En la práctica significa que en vez de quejarse de Pedro Sánchez la gente se queja de Amlo, Piñera, Macri y Maduro. RT @Piolinna: Que maravilla de la tecnología y el progreso, poder leer lo que se escribe en América al mismo tiempo que en España...</t>
  </si>
  <si>
    <t>https://twitter.com/Piolinna/status/1071222545523859456</t>
  </si>
  <si>
    <t>Lna 🇪🇸 Muy Facha</t>
  </si>
  <si>
    <t>"Ninguna sociedad prosperó por tener una clase grande y creciente de parásitos que vivían de aquellos que producían." Thomas Sowell</t>
  </si>
  <si>
    <t>Carlos Alonso</t>
  </si>
  <si>
    <t>España. Si buscas en el diccionario el significado de la palabra "demagogo" debería decir: "Gobierno de Pedro Sánchez". Junto con la Comisión para las...</t>
  </si>
  <si>
    <t xml:space="preserve">Madrid </t>
  </si>
  <si>
    <t>“Dios es español...Y todo el mundo lo sabe”. La libertad es un valor supremo. 🇪🇸🇪🇸🇪🇸🇪🇸 #HalaMadrid #29defebrero #K13V 🎄FELIZ NAVIDAD🎄</t>
  </si>
  <si>
    <t>https://periodistas-es.com/el-gobierno-elimina-los-terminos-disminuido-y-minusvalido-de-la-constitucion-espanola-114280</t>
  </si>
  <si>
    <t>Miguel Angel Martín</t>
  </si>
  <si>
    <t>Pedro @sanchezcastejon quiere reformar la Constitución para incluir la igualdad entre hombres y mujeres #RazonesParaConfiar #ElPSOEconproyectos  vía @eldiarioes</t>
  </si>
  <si>
    <t>Inquieto y activo ciudadano de ideas socialdemócratas,que procura un mundo mas justo,humano y equitativo.Militante del PSOE y afiliado a CCOO</t>
  </si>
  <si>
    <t>Pepita Mena Martín</t>
  </si>
  <si>
    <t>Evidentemente es eso lo que está guisando PEDRO SÁNCHEZ ! Al loro Españoles. RT @sergiobarcelona: La vía eslovena es una vía con muertos. Ese es la vía según Torra. ¿Qué está haciendo el Dr. @SanchezCastejon ante todo esto? Pedirle su apoyo para sacar adelante los presupuestos y poder aguantar un poco más en Moncloa. A la mayoría preocupada de catalanes, que nos den.</t>
  </si>
  <si>
    <t>Gerona, Figueras</t>
  </si>
  <si>
    <t>Soy abuela bisabuela y madre coraje soy muy española de Isla Cristina amo mi bandera y mi partido las opiniones hay que respetarlas 🇪🇸✌️</t>
  </si>
  <si>
    <t>Todo ésto es mandado por él CÓLETAS Pablo Yglesias ARIAS ÉL CHEPA.Y mientras tanto Pedro Sánchez sé lo pasa todo por los Huevos así de claro : No sé que puñetas hacen los JUECES para que Coño están si es que existen !Y no les meten mano al traídor JUDÁ y al Etarra golpista COLETA RT @Schuma78: ⛔VÍDEO CENSURADO EN TV3⛔ Vecinos de Terrassa llorando por el miedo generado por la violencia de los CDR...</t>
  </si>
  <si>
    <t>http://www.citizengo.org/hazteoir/pc/166961-pedro-sanchez-vende-guardia-civil?tc=tw&amp;tcid=52577841</t>
  </si>
  <si>
    <t>afrvet esp</t>
  </si>
  <si>
    <t>Pedro Sánchez, abucheado en su llegada al Congreso</t>
  </si>
  <si>
    <t>http://www.dondiario.com/pedro-sanchez-abucheado-en-su-llegada-al-congreso</t>
  </si>
  <si>
    <t>Ramón</t>
  </si>
  <si>
    <t>Paris, IL</t>
  </si>
  <si>
    <t>“Si cambias la forma en que miras las cosas, las cosas que miras cambian”.</t>
  </si>
  <si>
    <t>http://Instagram.com/ramonMLGA</t>
  </si>
  <si>
    <t>https://pbs.twimg.com/media/Dt2zrJbWwAAaWkH.jpg</t>
  </si>
  <si>
    <t>Esteban Suarez Barban</t>
  </si>
  <si>
    <t>I added a video to a @YouTube playlist  Las mentiras de Pedro Sánchez</t>
  </si>
  <si>
    <t>http://youtu.be/UqegwAeyJKY?a</t>
  </si>
  <si>
    <t>Periodista Independiente; Informático; Lucho contra la Dictadura en Cuba y cualquier parte del mundo. CEO RedxCuba la voz de los que no pueden hablar</t>
  </si>
  <si>
    <t>https://www.redxcuba.org</t>
  </si>
  <si>
    <t>Los barones permitirán a Pedro Sánchez que negocie con Podemos Fecha del congreso del PSOE 📡 MODO DE SER REPUBLICANO, 🔈 LA CULTURA COMO NEGOCIO,</t>
  </si>
  <si>
    <t>https://goo.gl/mNeRTp?jxx77=5254308512</t>
  </si>
  <si>
    <t>JM</t>
  </si>
  <si>
    <t>https://pbs.twimg.com/media/Dt0doFfX4AEj6kd.jpg</t>
  </si>
  <si>
    <t>https://pbs.twimg.com/media/Dt2tElvWsAEXexn.jpg</t>
  </si>
  <si>
    <t>Miriam Tey</t>
  </si>
  <si>
    <t>Entrevista | Pedro Sánchez: “A los independentistas les da igual el modelo de Estado, quieren ir contra el ser de España”  vía @elpais_espana</t>
  </si>
  <si>
    <t>https://elpais.com/politica/2018/12/04/actualidad/1543916726_658727.html?id_externo_rsoc=TW_CC</t>
  </si>
  <si>
    <t>Fundadora del CLAC, miembro de Pi i Margall y de Concordia Cívica y vicepresidenta de SCC</t>
  </si>
  <si>
    <t>http://www.ilustrados.es</t>
  </si>
  <si>
    <t>MOLERO</t>
  </si>
  <si>
    <t>Para los que hablan sin saber.. Pedro Sánchez no se ha leído la CE en su vida RT @JudgeTheZipper: Para aquellos que dicen que hay que reformar la Constitución para incluir la igualdad entre hombres y mujeres: que ya la recoge expresamente. Sí. A ver si subrayándolo con fosforito...</t>
  </si>
  <si>
    <t>https://twitter.com/JudgeTheZipper/status/1070963371950960645</t>
  </si>
  <si>
    <t>https://pbs.twimg.com/media/DtzTga-WwAAhCtl.jpg</t>
  </si>
  <si>
    <t>Sanlúcar de Barrameda, España</t>
  </si>
  <si>
    <t>Doble grado en Derecho + RRLL y RRHH 📍 ⚜️ SIEMPRE LISTOS ⚜️</t>
  </si>
  <si>
    <t>El acuerdo sobre Gibraltar y el Brexit es muy positivo para España y "el más importante desde el Tratado de Utrecht en 1713", dice Pedro Sánchez  @El_Plural #TratadoUtrech #ConflictoGibraltarEspaña #DerechoDeAutodeterminación #Brexit</t>
  </si>
  <si>
    <t>https://www.elplural.com/opinion/brexit-tratado-de-utrecht-dos_207474102</t>
  </si>
  <si>
    <t>Bruselas, Bélgica</t>
  </si>
  <si>
    <t>Política y Economía</t>
  </si>
  <si>
    <t>España aceptó recibir refugiados alemanes con la promesa de ayuda de Angela, ahora suspende apoyo económico @AlfredoJalifeR_ Tras reunirse con Soros, Sánchez se compromete ante Merkel a acoger en España a miles de refugiados que se encuentran en Alemania  RT @Politica_Econom: Merkel abandona las cuotas de los migrantes y presiona para lograr un plan de "solidaridad flexible" de la UE y un plan de África aprobado por Soros presionó por lo que ella denominó "solidaridad flexible" y un "Plan Marshall" para África</t>
  </si>
  <si>
    <t>http://www.alertadigital.com/2018/06/29/pedro-sanchez-da-oxigeno-a-merkel-se-compromete-a-acoger-en-espana-a-miles-de-refugiados-que-se-encuentran-en-alemania/
https://twitter.com/Politica_Econom/status/1071198635885379584
https://www.breitbart.com/europe/2018/06/09/merkel-abandons-migrant-quotas-eu-soros-africa-plan/</t>
  </si>
  <si>
    <t>Aquí y Ahora</t>
  </si>
  <si>
    <t>“Nemo patriam quia magna est amat, sed quia sua”</t>
  </si>
  <si>
    <t>https://pbs.twimg.com/media/Dt2pa9lXcAAltzn.jpg</t>
  </si>
  <si>
    <t>Natalia Alba 🇪🇸</t>
  </si>
  <si>
    <t>Gregorio Pintor</t>
  </si>
  <si>
    <t>Madrid~ (España)</t>
  </si>
  <si>
    <t>Habla siempre con su propia voz, incluso a extraños. Es salvaje e inocente, aferrada al amor en todo naufragio. ~Robert Graves</t>
  </si>
  <si>
    <t>Afiliado de UPyD en Leganés, ingeniero técnico agrícola, convencido de que podemos cambiar España para cambiar el mundo.</t>
  </si>
  <si>
    <t>🌴🌴TU Y YO🌴🌴🌴</t>
  </si>
  <si>
    <t>VARA AMENAZA A PEDRO SANCHEZ CON IRSE DEL PSOE SI PACTA CON NACIONALISTAS...PERO...SI YA HA PACTADO!!!</t>
  </si>
  <si>
    <t>https://www.elmundo.es/espana/2016/09/27/57eab819268e3eb25b8b45e0.html</t>
  </si>
  <si>
    <t>correo electrónico: lunadebenidorm@gmail.com</t>
  </si>
  <si>
    <t>Pedro Sánchez demuestra ser un ignorante y un caradura en una entrevista concedida a El País  vía @ElDiestro_</t>
  </si>
  <si>
    <t>https://www.eldiestro.es/2018/12/pedro-sanchez-demuestra-ser-un-ignorante-y-un-caradura-en-una-entrevista-concedida-a-el-pais/</t>
  </si>
  <si>
    <t>Daniel Feo</t>
  </si>
  <si>
    <t>Atención, pregunta ¿Cómo es posible que Pedro Sánchez proponga una reforma constitucional en la que se incluya la igualdad entre hombres y mujeres, si ya se menciona en el artículo 14?</t>
  </si>
  <si>
    <t>Tenerife, España.</t>
  </si>
  <si>
    <t>Canario con acento.</t>
  </si>
  <si>
    <t>Francis Cofran</t>
  </si>
  <si>
    <t>La esposa de Pedro Sánchez porque pese a estar cobrando -desde el pasado mes de septiembre- la abultada nómina que se aproxima a los 6.000 euros mensuales lo cierto es que no se la ha visto en su puesto de trabajo. Begoña Gómez ha pasado más días ausente que trabajando.</t>
  </si>
  <si>
    <t>https://pbs.twimg.com/media/Dt2kJnhXgAArCyV.jpg</t>
  </si>
  <si>
    <t>Portimão</t>
  </si>
  <si>
    <t>Liberal , despreocupada , culpable de la dejadez de colaboración entre las personas y la ver que empatía entre las personas ya no existe</t>
  </si>
  <si>
    <t>magnet</t>
  </si>
  <si>
    <t>Pedro Sánchez quiere incluir la igualdad de hombres y mujeres en la Constitución. Pero ya aparece</t>
  </si>
  <si>
    <t>https://magnet.xataka.com/en-diez-minutos/pedro-sanchez-quiere-incluir-igualdad-hombres-mujeres-constitucion-aparece</t>
  </si>
  <si>
    <t>Internet</t>
  </si>
  <si>
    <t>Internet es fascinante https://www.facebook.com/Magnet https://flipboard.com/@magnet_es</t>
  </si>
  <si>
    <t>http://magnet.xataka.com/</t>
  </si>
  <si>
    <t>Arturo</t>
  </si>
  <si>
    <t>En @elconfidencial: Afectados por Afinsa y Fórum Filatélico abuchean a Sánchez frente al Congreso</t>
  </si>
  <si>
    <t>https://www.elconfidencial.com/espana/2018-12-06/pedro-sanchez-constitucion-pitos-abucheos-afinsa-forum-filatelico_1690530/?utm_source=twitter&amp;utm_medium=social&amp;utm_campaign=BotoneraWeb</t>
  </si>
  <si>
    <t>Ayamonte, Andalucía</t>
  </si>
  <si>
    <t>LOGAN-QR</t>
  </si>
  <si>
    <t>Se está haciendo un Pedro Sanchez....el de antes del bigote no era Vettel, era Sebastian...así puede empezar con menos presión el 2019. Es otro, es Vettel... RT @Enclenquestone: Hola @BigotumMaximus Aquí una muestra de un bigote hacendado:</t>
  </si>
  <si>
    <t>https://twitter.com/Enclenquestone/status/1071125498896502784</t>
  </si>
  <si>
    <t>https://pbs.twimg.com/media/Dt1m9r6WwAEYBCg.jpg</t>
  </si>
  <si>
    <t>Dtor. y editor de la revista #MuyFandelaF1 (http://issuu.com/muyfandelaf1), de http://www.quemandorueda.net/ y Responsable F1 en @AutoFmCope</t>
  </si>
  <si>
    <t>http://quemandorueda.net</t>
  </si>
  <si>
    <t>clara gonzalez</t>
  </si>
  <si>
    <t>Sánchez pide incluir en la Constitución la igualdad entre hombres y mujeres... ¡que ya está en el art. 14 desde 1978!  vía @okdiario</t>
  </si>
  <si>
    <t>http://okdiario.com/espana/2018/12/07/pedro-sanchez-reformar-constitucion-incluir-igualdad-hombres-mujeres-articulo-14-desde-hace-40-anos-3437620</t>
  </si>
  <si>
    <t>Española,católica y de derchas muy orgullosa de serlo</t>
  </si>
  <si>
    <t>KuroTenshiButaiKTB 🗡🇯🇵🇭🇺🇷🇺🇲🇴☣☢⚛</t>
  </si>
  <si>
    <t>Una encuesta elaborada en el HuffPost y la considera fiable. Y más teniendo en cuenta que una institución supuestamente neutral como el CIS afirma que Pedro Sanchez ganaría las elecciones a Secretario General de la ONU. Anda ya. RT @Pablo_Iglesias_: “Una mayoría de españoles preferiría que España fuese una república y desea, además, que se celebre un referéndum para decidirlo. Eso es lo que se desprende de la última encuesta que YouGov ha elaborado en exclusiva para El HuffPost” 👇🏼</t>
  </si>
  <si>
    <t>https://twitter.com/Pablo_Iglesias_/status/1071105155255451649
https://www.huffingtonpost.es/2018/12/05/el-48-de-los-espanoles-prefiere-que-espana-sea-una-republica_a_23609576/</t>
  </si>
  <si>
    <t>ExIndepe 🇪🇸🇪🇺</t>
  </si>
  <si>
    <t>Munzo, Side 3, Neo-Zeon</t>
  </si>
  <si>
    <t>En busca de la coherencia discursiva. Opinador disidente. Filósofo de la duda. Escritor de fantasía realista. Harto de femifakes. Me gusta Gundam. Sieg Zeon!</t>
  </si>
  <si>
    <t>Cataluña, España, EU</t>
  </si>
  <si>
    <t>ExIndepedentista. Segundo lateral derecho suplente del #TeamFacha</t>
  </si>
  <si>
    <t>Carlos Cotón</t>
  </si>
  <si>
    <t>La gestión y empecinamiento de Pedro Sánchez de apoyarse en quienes no creen en el Estado, se cobran una nueva 'víctima'. Pachi Vázquez abandona el PSOE.</t>
  </si>
  <si>
    <t>https://elpais.com/politica/2018/12/07/actualidad/1544193626_914426.html</t>
  </si>
  <si>
    <t xml:space="preserve">Alcalá de Henares </t>
  </si>
  <si>
    <t>Miembro del Consejo de Dirección de @UPYD | Portavoz de @UPYDAlcala | Ciudadano comprometido | Colaboro en @UnirPiezas, @AlcalaHoy1 y @codigo_publico</t>
  </si>
  <si>
    <t>Herbalife HV Granada</t>
  </si>
  <si>
    <t>Harto y cansado de tanta sátira política. Ni Iglesias es Satanás, ni Susana es El Último de la Fila, ni Sanchez será " el Breve" ni Abascal es San Pedro. No os canséis. Nunca gobernarán ni Vox ni Podemos. Sigan ladrando.</t>
  </si>
  <si>
    <t>https://www.facebook.com/100000273284122/posts/2196753943677027/</t>
  </si>
  <si>
    <t>Huetor Vega Gr</t>
  </si>
  <si>
    <t>Distribuidores Independientes Herbalife</t>
  </si>
  <si>
    <t>Eventos en Madrid</t>
  </si>
  <si>
    <t>Pedro Sánchez asistirá a la final de la Copa Libertadores en el Bernabéu: Así lo ha señalado en rueda de prensa el delegado del Gobierno en Madrid, José Manuel Rodríguez Uribes, para presentar el dispositivo de seguridad para este evento, integrado por…</t>
  </si>
  <si>
    <t>https://binged.it/2E835d0</t>
  </si>
  <si>
    <t>https://pbs.twimg.com/media/Dt2iqtzU0AAWLrs.jpg</t>
  </si>
  <si>
    <t>Intentando recoger todos los eventos de Madrid ... son muchos.</t>
  </si>
  <si>
    <t>https://www.facebook.com/100000273284122/posts/2196749743677447/</t>
  </si>
  <si>
    <t>JUAN ENRIQUE GARCÍA</t>
  </si>
  <si>
    <t>https://youtu.be/0yinR3tV_eU</t>
  </si>
  <si>
    <t>Natural del municipio pacense de Torre de Miguel Sesmero. Soy funcionario de administración local con habilitación de carácter nacional. Casado y con 3 hijos.</t>
  </si>
  <si>
    <t>Unicanal</t>
  </si>
  <si>
    <t>▪️Habrá aguinaldo. Sindicatos de Hacienda y autoridades llegan a un acuerdo y levantan medida de fuerza. 📹Nota con Pedro Sánchez (sindicato de funcionarios de Hacienda). #NoticieroCentral📺</t>
  </si>
  <si>
    <t>pic.twitter.com/qpFXEx4Jfr</t>
  </si>
  <si>
    <t>Asunción, Paraguay</t>
  </si>
  <si>
    <t>En Unicanal, llegamos a vos. Contactos: Yegros 999 esq Simón Bolívar. 021-455405 - prensa@unicanal.com.py</t>
  </si>
  <si>
    <t>http://www.unicanal.com.py</t>
  </si>
  <si>
    <t>Pilar Balado</t>
  </si>
  <si>
    <t>Pero eso lo tenian que haber dicho hace mucho ya!!!!El 'palo' de Rosa Díez a Pedro Sánchez a cuenta de Vox</t>
  </si>
  <si>
    <t>me gusta la musica ,lascosas bonitas cuadros fotos pinturas el MAR lo adoro ,los perros maravillosos ,la cosmetica la naturaleza .la vida y la salud</t>
  </si>
  <si>
    <t>Lua</t>
  </si>
  <si>
    <t>Ya ha dicho Pedro Sánchez en los medios lo que nos va a costar a los españoles la broma de la Copa Libertadores</t>
  </si>
  <si>
    <t>El signo de la inteligencia,es la serenidad constante.</t>
  </si>
  <si>
    <t>Oriana Simoza</t>
  </si>
  <si>
    <t>Pedro Sánchez confía en quedarse con el centro político de cara al nuevo ciclo electoral  … Informa @irecrpic.twitter.com/WcrRm39Put</t>
  </si>
  <si>
    <t>https://www.eldiario.es/politica/Pedro-Sanchez-Casado-Rivera-electoral_0_843416123.html
http://dlvr.it/Qt5zT4</t>
  </si>
  <si>
    <t>https://pbs.twimg.com/media/Dt2fsSdU4AAksiv.jpg</t>
  </si>
  <si>
    <t>Amante de la Naturaleza y la Familia</t>
  </si>
  <si>
    <t>Melchor Gaspar</t>
  </si>
  <si>
    <t>Ejemplo de artículo tendencioso para justificar un modelo energético sucio y nocivo para las personas y el planeta y por ello reaccionario a los cambios q impulsa el gobierno hacia una Energía limpia @daniro_asensio  vía @libre_mercado</t>
  </si>
  <si>
    <t>cerca</t>
  </si>
  <si>
    <t>Interesado por la vida en el mundo y bastante confiado... Tanto que invertí en un huerto solar...</t>
  </si>
  <si>
    <t>infoLibre</t>
  </si>
  <si>
    <t>El ex secretario general del #PSOE gallego deja el partido por no compartir "casi nada de lo que está haciendo" Pedro #Sánchez</t>
  </si>
  <si>
    <t>http://ow.ly/p3F930mTUmz</t>
  </si>
  <si>
    <t>https://pbs.twimg.com/media/Dt2dOQ_W0AYKEw5.jpg</t>
  </si>
  <si>
    <t>Información libre e independiente. Apuesta por el periodismo de calidad. ¡Hazte soci@ y actúa!</t>
  </si>
  <si>
    <t>http://www.infolibre.es</t>
  </si>
  <si>
    <t>Pitufo Gruñón</t>
  </si>
  <si>
    <t>La irrupción de Vox es consecuencia de la locura del procés, y de la inconsciencia de Pedro Sánchez y Pablo Iglesias. El franquismo estaba más que enterrado y gracias a ellos están volviendo a resurgir...que asco!!</t>
  </si>
  <si>
    <t>Pitufolandia</t>
  </si>
  <si>
    <t>Vivo en la República de Pitufolandia, mucho más real que la República de Farolandia (lo dice la ONU) Colono, facha, opresor, analfabeto, borracho, rata...</t>
  </si>
  <si>
    <t>Felipe VI es un Jefe de Estado no electo y Pedro Sánchez es un Jefe de Gobierno sí electo. Decir lo contrario es mentir. RT @numer344: Dicen que nadie ha votado al Rey. Me gustaría saber quien ha votado a Pedro Sánchez.</t>
  </si>
  <si>
    <t>https://twitter.com/numer344/status/1070803382670114816</t>
  </si>
  <si>
    <t>Pollo1922</t>
  </si>
  <si>
    <t>Pedro Sanchez quien lo lea!!!!!!</t>
  </si>
  <si>
    <t>Only CDCS</t>
  </si>
  <si>
    <t>España calla</t>
  </si>
  <si>
    <t>Castilla La Mancha</t>
  </si>
  <si>
    <t>Castellano-manchega de pura cepa; sanitaria de profesión , luchadora por vocación, últimamente cabreada como todo ciudadano al que este gobierno ha estafado</t>
  </si>
  <si>
    <t>Podemos Linares</t>
  </si>
  <si>
    <t>El Circulo Municipal de Podemos Linares lamenta el fallecimiento del presidente de @AcilCca , Luis Pedro Sánchez Rodríguez y deseamos mostrar nuestro apoyo y solidaridad a su familia y allegados, DEP</t>
  </si>
  <si>
    <t>Burgos</t>
  </si>
  <si>
    <t>https://pbs.twimg.com/media/Dt2Z-kNWoAE8zXb.jpg</t>
  </si>
  <si>
    <t>Linares</t>
  </si>
  <si>
    <t>Perfil oficial de Podemos Linares. Rechaza imitaciones. ÚNETE . @PodemosLinares / info@linares.andaluciapodemos.info/ https://www.facebook.com/cmpodemoslinares</t>
  </si>
  <si>
    <t>JUAN ANTONIO CAMPOS PALOMO</t>
  </si>
  <si>
    <t>Pedro Sanchez ya va a hacer la REFORMA LABORAL para ayudar a los trabajadores Compartelo 🌹🌹🌹🌹🌹🌹🌹🌹🌹</t>
  </si>
  <si>
    <t>https://www.lainformacion.com/economia-negocios-y-finanzas/laboral/sanchez-decreto-reforma-laboral-empresarios-ceoe/6445847</t>
  </si>
  <si>
    <t>POLÍTICA, ECOLOGÍA, FUTBOL, NUDISMO, PAJAROS, FOTOS y SOLIDARIDAD ESTE ES MI GRUPO AMIGOS/AS MÁLAGA EN EL FACEBOOK: http://m.facebook.com/groups/2475313…</t>
  </si>
  <si>
    <t>https://m.facebook.com/groups/247531306734?ref=bookmarks</t>
  </si>
  <si>
    <t>*Pedro Sanchez ya va a hacer la REFORMA LABORAL para ayudar a los trabajadores* *Compartelo 🌹🌹🌹🌹🌹🌹🌹🌹🌹*</t>
  </si>
  <si>
    <t>PEDRO SANCHEZ : CONVOCATORIA DE ELECCIONES ¡YA! - ¡Firma la petición!  vía @change_es</t>
  </si>
  <si>
    <t>http://chng.it/MkkQfdx4</t>
  </si>
  <si>
    <t>Eva sevilla</t>
  </si>
  <si>
    <t>Tratar con EDUCACIÓN no es cuestión de dinero..es cuestión de CLASE...Hay HAY CLASE DE PERSONAS Y PERSONAS CON CLASE.😙😍</t>
  </si>
  <si>
    <t>Vox tiene que agradecer a Pedro Sánchez la "ayuda" prestada con su nefasta gestión.</t>
  </si>
  <si>
    <t>https://www.economiadigital.es/politica-y-sociedad/vox-supera-en-militantes-a-erc-pdecat-y-psc_593024_102.html</t>
  </si>
  <si>
    <t>Santiago Muñoz</t>
  </si>
  <si>
    <t>Pedro Sánchez en el Smash</t>
  </si>
  <si>
    <t>https://pbs.twimg.com/media/Dt2XW1jWoAIN2Uj.jpg</t>
  </si>
  <si>
    <t>We are all in the gutter, but some of us are looking at the stars.</t>
  </si>
  <si>
    <t>Druida</t>
  </si>
  <si>
    <t>Pedro Sánchez, recibido con abucheos a su llegada al Congreso para el acto de los 40 años de la Constitución -   vía @rtve</t>
  </si>
  <si>
    <t>http://RTVE.es
http://www.rtve.es/v/4876659/</t>
  </si>
  <si>
    <t>MI HIMNO PREFERIDO: Himno druida - Druid Hymn - De Avi Level @AVILEVEL, gracias.</t>
  </si>
  <si>
    <t>http://empatemos.mforos.com/</t>
  </si>
  <si>
    <t>Gallardo</t>
  </si>
  <si>
    <t>En la celebración de los 40 años de la Constitución, Pedro Sánchez fue reiteradamente abucheado.</t>
  </si>
  <si>
    <t>fsangallardo@gmail.com</t>
  </si>
  <si>
    <t>Josefina Llorente</t>
  </si>
  <si>
    <t>Casado acusa a Pedro Sánchez de ser cómplice de la “kale borroka independentista” por no aplicar el 155 | España | EL PAÍS</t>
  </si>
  <si>
    <t>https://elpais.com/politica/2018/12/07/actualidad/1544192692_171557.html</t>
  </si>
  <si>
    <t>Palabras y ...más</t>
  </si>
  <si>
    <t>https://josefinallorentej.wixsite.com/canella</t>
  </si>
  <si>
    <t>Marine Pond Garden</t>
  </si>
  <si>
    <t>Vara amenaza a Pedro Sánchez con irse del PSOE si pacta con los nacionalistas</t>
  </si>
  <si>
    <t>Tienda especializada en acuariofilia marina, tropical, estanques e ictioterapia. http://www.masqpeces.com http://www.facebook.com/MasQpeces http://www.scoop.it/t/marine-pond-garden</t>
  </si>
  <si>
    <t>Juanma Gavilán</t>
  </si>
  <si>
    <t>Dejense de explicaciones retorcidas.Lo de Vox en Andalucia es fácil, Susana ha conseguido la abstencion de la izquierda y Pedro Sanchez ha conseguido la movilizacion de la derecha. Nunca una dupla ajena a un partido lo habia ayudado tanto.</t>
  </si>
  <si>
    <t>Soy de Sevilla, Biólogo, Cofrade y Bético. Y desde aqui me gusta comentar la actualidad y lo que pienso.</t>
  </si>
  <si>
    <t>Habría que reformar la Constitución para incluir a Pedro Sánchez, es tan imbécil que merece el más alto reconocimiento.</t>
  </si>
  <si>
    <t>Pepe Mari</t>
  </si>
  <si>
    <t>Cada vez que habla Pedro Sánchez, sube el pan. No se por qué pero a parte de repugnarme consigue que ame justo lo contrario de lo que pregona. Hasta para mentir lo hace mal, se nota que actúa...</t>
  </si>
  <si>
    <t>https://pbs.twimg.com/media/Dt2USlpW0AA75ZD.jpg</t>
  </si>
  <si>
    <t>Pienso que a pesar de las curvas y demás rodeos siempre es bueno tener un rumbo interior para avanzar. Procuro no perder de vista mi particular Estrella Polar.</t>
  </si>
  <si>
    <t>https://binged.it/2QEK5cJ</t>
  </si>
  <si>
    <t>https://pbs.twimg.com/media/Dt2UPx4VAAAZxi5.jpg</t>
  </si>
  <si>
    <t>Público</t>
  </si>
  <si>
    <t>Pedro Sánchez tiene hasta el 2 abril para convocar elecciones o esperar ya hasta otoño  Por @ManuSanchezG</t>
  </si>
  <si>
    <t>https://www.publico.es/politica/presupuestos-generales-2019-sanchez-2-abril-convocar-elecciones-esperar-otono.html?utm_source=twitter&amp;utm_medium=social&amp;utm_campaign=publico</t>
  </si>
  <si>
    <t>Twitter oficial del Diario Público. @Memoria_Publica @TodasPublico @pub_sinmordazas @yoanimal_p @tremending</t>
  </si>
  <si>
    <t>http://www.publico.es</t>
  </si>
  <si>
    <t>Julen Vileya López</t>
  </si>
  <si>
    <t>🎙️ LVELC (24/09/2018) Actualidad Política Con Enrique Baeza: Pedro Sánchez, Los Mossos, Aznar e Iglesias &amp; Las Cuotas En Mujeres Directiva 📣 GW1 #SerieAxESPN Constitución Marlboro #OTDirecto7DIC</t>
  </si>
  <si>
    <t>https://www.spreaker.com/episode/15795773</t>
  </si>
  <si>
    <t>Informático | 📹🎙️ Fundador del canal @LVDURepublico | Responsable del #MCRC en Barcelona. Yo no seré libre, hasta que tú no lo seas. #AcciónYa</t>
  </si>
  <si>
    <t>https://mcrc.es/</t>
  </si>
  <si>
    <t>https://pbs.twimg.com/media/Dt0dlNuWkAUkWIz.jpg</t>
  </si>
  <si>
    <t>1/2. Quiero que tengáis conciencia de quienes sostienen y son los socios del Presidente de Gobierno de España, Pedro Sánchez. Secretario G. del PSOE. "Un mercenario Politico, Comunista y antisistema. Que "SABE HACER COCTELES MOLOTOV Y CAZA FACHAS"</t>
  </si>
  <si>
    <t>Juan Carlos ن✝</t>
  </si>
  <si>
    <t>Esto es lo que han conseguido Pedro Sánchez, Pablo Iglesias y los golpistas catalanes 👇 RT @hospederiavc: Éstas eran las colas esta mañana para acceder a la basílica</t>
  </si>
  <si>
    <t>España 🇪🇸 ن</t>
  </si>
  <si>
    <t>«¡Tarde te amé, hermosura tan antigua y tan nueva, tarde te amé! y tú estabas dentro de mí y yo afuera,...» Yendo a #CATECUMENADO para mí #CONFIRMACIÓN</t>
  </si>
  <si>
    <t>https://youtu.be/6A3AS5oavA0</t>
  </si>
  <si>
    <t>Manuel Gila Hernán</t>
  </si>
  <si>
    <t>https://pbs.twimg.com/media/Dt2PH72XgAAa8LA.jpg</t>
  </si>
  <si>
    <t>Saturnino Mendoza</t>
  </si>
  <si>
    <t>Nacido Villarrobledo (Albacete) 5-11- 1951. Mërida. Dirección de Empresa. Investigador Fenomeno OVNI desde 1967. Programas Radio, Conferencias, Revistas, TV.</t>
  </si>
  <si>
    <t>http://elescorpionnegro.blogspot.com</t>
  </si>
  <si>
    <t>Pedro Sánchez confía en quedarse con el centro político de cara al nuevo ciclo electoral  Informa @irecr</t>
  </si>
  <si>
    <t>https://www.eldiario.es/politica/Pedro-Sanchez-Casado-Rivera-electoral_0_843416123.html</t>
  </si>
  <si>
    <t>https://pbs.twimg.com/media/Dt106zkX4AU_HQz.jpg</t>
  </si>
  <si>
    <t>antonioreymatalobos@gmail.com</t>
  </si>
  <si>
    <t>#QuimTorra Tenias que estar colgado. Te estas gastando impunemente nuestro dinero, el de los españoles, y el soplapollas, (ya con los dias contados como presidente) de Pedro Sanchez el vividor, encima, dandote mas. ¿Cuando nos vas a pagar los 72 mil millones, hijo de puta?. Tu</t>
  </si>
  <si>
    <t>Mostoles</t>
  </si>
  <si>
    <t>JOSE ANTONIO</t>
  </si>
  <si>
    <t>El populismo de Pedro Sánchez se extiende al sector energético, por @daniro_asensio INTERESANTE ARTICULO Q DEJA A SANCHEZ CON EL CULO AL AIRE  vía @libre_mercado</t>
  </si>
  <si>
    <t>Hoy la clase política, no tiene ni clase ni políticos, desconocen la lealtad. La bandera e himno d España representan las libertades incluso para los mediocres</t>
  </si>
  <si>
    <t>Damián Gesteira</t>
  </si>
  <si>
    <t>De verdad, me tenéis que explicar eso de que manifestarse en contra de la investidura de Pedro Sánchez, tras la moción de censura, es respetar la democracia y manifestarse en contra de VOX, tras las elecciones andaluzas, no.</t>
  </si>
  <si>
    <t>Baiona, España</t>
  </si>
  <si>
    <t>Nací, crecí, me relaciono, aún no me reproduje ni me he muerto. "Saca tus sucias manos de MI BANDERA"</t>
  </si>
  <si>
    <t>El 'palo' de Rosa Díez a Pedro Sánchez a cuenta de Vox La exlíder de UPyD rechaza calificar al partido de Santiago Abascal de inconstitucional</t>
  </si>
  <si>
    <t>https://www.cope.es/programas/herrera-en-cope/amp/noticias/herrera-20181207_306196</t>
  </si>
  <si>
    <t>Los Verdes</t>
  </si>
  <si>
    <t>Aprende Pedro Sánchez</t>
  </si>
  <si>
    <t>https://www.facebook.com/losverdesgv/posts/2153740778011201</t>
  </si>
  <si>
    <t>LOS VERDES - GRUPO VERDE. Partido político ecologista fundado en 1994. http://www.facebook.com/losverdesgv</t>
  </si>
  <si>
    <t>http://www.los-verdes.es</t>
  </si>
  <si>
    <t>Pedro Sánchez desconoce la Constitución: pide reformarla para incluir la igualdad entre hombres y mujeres - Libertad Digital</t>
  </si>
  <si>
    <t>María Pérez Fdez.</t>
  </si>
  <si>
    <t>Muy valiente @rosadiezglez El 'palo' de Rosa Díez a Pedro Sánchez a cuenta de Vox</t>
  </si>
  <si>
    <t>#Madre x 3 #MemoriaContraETA #VOX Administración Central #Bilbao Mis raíces... en #ASTURIAS bien profundas. #España</t>
  </si>
  <si>
    <t>Manuel Hdz</t>
  </si>
  <si>
    <t>Es necesario que hagan un estudio de vialidad en los semáforos debajo del puente de Villa Florida en el periférico Raúl López Sánchez. Ya que para ir periférico hacia la carretera Torreón San Pedro el semáforo dura muy poco y no avanzan carros @JZERMENOI @SIMVTrc @transitotorreon</t>
  </si>
  <si>
    <t>pic.twitter.com/VaixYYckPA</t>
  </si>
  <si>
    <t>Mi pasión es capturar imágenes y con ellas transmitir lo que los demás no alcanzan a ver y así mejorar mi Torreón</t>
  </si>
  <si>
    <t>Pedro Sánchez debería aplicar inmediatamente el art-151, la purga anunciada por Torra entre los Mossos es de una gravedad extraordinaria, si no lo hace, todo lo que pueda ocurrir a partir de ahora es responsabilidad suya.</t>
  </si>
  <si>
    <t>vikingo</t>
  </si>
  <si>
    <t>‼️BESTIAAL‼️ Esta JOVEN DIPUTADA DESTROZA a Pedro SÁNCHEZ por sus CONCES...  vía @YouTube</t>
  </si>
  <si>
    <t>https://youtu.be/fYiPwn_347s</t>
  </si>
  <si>
    <t>http://page.is/larevuelo53</t>
  </si>
  <si>
    <t>¡QUÉ GRANDE! La TREMENDA SACUDIDA de Inés ARRIMADAS a Pedro SÁNCHEZ  vía @YouTube</t>
  </si>
  <si>
    <t>https://youtu.be/PQjOvz4vkvo</t>
  </si>
  <si>
    <t>francisco baena</t>
  </si>
  <si>
    <t>https://www.mediterraneodigital.com/espana/espana/ridiculo-apoteosico-pedro-sanchez-pide-reformar-la-constitucion-para-incluir-un-articulo-que-ya-existe.html?fbclid=IwAR3QSjZVU4GvSYJeODttr7OaNXJyxDs-AmLzAx99XyT3TvgMPcVJqv1D9qo</t>
  </si>
  <si>
    <t>cordoba</t>
  </si>
  <si>
    <t>NACE EN 1964, HIJO UNICO HIJO DE MILITAR E HIJO DE VIUDA, LCDO EN DERECHO, ABOGADO 22 AÑOS DE EJERCICIO,</t>
  </si>
  <si>
    <t>NNGG Dto. Salamanca</t>
  </si>
  <si>
    <t>🔴Abucheos a Pedro Sánchez a su llegada al Congreso y larga ovación a los reyes</t>
  </si>
  <si>
    <t>https://bit.ly/2QDwfY5</t>
  </si>
  <si>
    <t xml:space="preserve">Madrid, España </t>
  </si>
  <si>
    <t>Twitter Oficial de Nuevas Generaciones del Distrito Salamanca. Partido Popular de Dto. Salamanca @dtosalamancapp</t>
  </si>
  <si>
    <t>http://www.facebook.com/nnggdistritosalamanca</t>
  </si>
  <si>
    <t>Galicia</t>
  </si>
  <si>
    <t>#Política: Pablo Casado ha pedido a Pedro Sánchez que "ponga orden en #Cataluña"  vía @mundiario</t>
  </si>
  <si>
    <t>https://www.mundiario.com/articulo/politica/pablo-casado-apunta-pedro-sanchez-situacion-cataluna/20181207212354140100.html</t>
  </si>
  <si>
    <t>Desde A Coruña (Ñ, UE)</t>
  </si>
  <si>
    <t>Twitter de Galicia, Mundiario de la Eurorregión con el norte de Portugal.</t>
  </si>
  <si>
    <t>https://www.mundiario.com/seccion/galicia</t>
  </si>
  <si>
    <t>💥REPASO BRUTAL💥Albert RIVERA HUNDE a Pedro SÁNCHEZ al pedirle que PUBLIQ...  vía @YouTube</t>
  </si>
  <si>
    <t>https://youtu.be/cQNTYvOF1x4</t>
  </si>
  <si>
    <t>Pedro Sánchez aleja la posibilidad de elecciones en marzo: “Seguiremos gobernando”  vía @elpais_espana</t>
  </si>
  <si>
    <t>https://elpais.com/politica/2018/12/06/actualidad/1544108922_690929.html?id_externo_rsoc=TW_CC</t>
  </si>
  <si>
    <t>J.ALFONS RIBA</t>
  </si>
  <si>
    <t>Carta oberta al president Pedro Sánchez</t>
  </si>
  <si>
    <t>http://www.catalunyalliure.cat/2018/12/carta-oberta-president-pedro-sanchez/</t>
  </si>
  <si>
    <t>Pepita Jimenez</t>
  </si>
  <si>
    <t>Pedro Galván</t>
  </si>
  <si>
    <t>Cuando a las puertas del cielo nos pregunte San Pedro a los españoles: «¿Qué habéis hecho para merecer el paraíso?» Responderemos que padecimos el gobierno de Zapatero... y el de Rajoy, y ya el colmo, el de Sánchez. Pasad, pasad, nos dirá entre lágrimas, qué grande vuestra cruz.</t>
  </si>
  <si>
    <t>Casado con la literatura, amante de los viajes y del arte, amigo de sus amigos. Mi blog de literatura y viajes:</t>
  </si>
  <si>
    <t>http://ellenguajeysuscompinches.blogspot.com.es/</t>
  </si>
  <si>
    <t>Bismarck ND</t>
  </si>
  <si>
    <t>A Wert se le acaba el chollo: adiós a su sueldazo, chofer y mansión: Salvo sorpresa mayúscula, este viernes saldrá adelante la moción de censura presentada por Pedro Sánchez. De este modo, Mariano Rajoy dejará de ser presidente del Gobierno y con él…</t>
  </si>
  <si>
    <t>http://dlvr.it/Qt5cr0</t>
  </si>
  <si>
    <t>https://pbs.twimg.com/media/Dt2CY_LUcAAPc2e.jpg</t>
  </si>
  <si>
    <t>Bismarck, ND</t>
  </si>
  <si>
    <t>Credit Repair in Bismarck North Dakota 58501 call (888) 502-1260 https://www.facebook.com/Credit-Repair-in-North-Dakota-1842936412651530/ https://es-la.facebook.com/Credit-Repair-in-North-Dakota-1842936412651530/ https://m.facebook.com/Credit-Repair-in-North-Dakota-1842936412651530/</t>
  </si>
  <si>
    <t>https://www.facebook.com/Credit-Repair-in-North-Dakota-1842936412651530/</t>
  </si>
  <si>
    <t>José I. González</t>
  </si>
  <si>
    <t>Me imagino que para la ministra de Justicia esta entrevista va en contra de la Constitución, pero destrozar escaparates, o quemar la Bandera Española NÓ!!!! El 'palo' de Rosa Díez a Pedro Sánchez a cuenta de Vox</t>
  </si>
  <si>
    <t>Semper fidelis. Comprometido con cada proyecto. Aprendiendo siempre.Trabajo en equipo con las manos en la masa. Director-Desarrollo de Negocio Servicios y Obras</t>
  </si>
  <si>
    <t>juan garcia ramirez</t>
  </si>
  <si>
    <t>El miedo a Vox abre la puerta a que los independentistas apoyen los Presupuestos de Pedro Sánchez  vía @ecd_</t>
  </si>
  <si>
    <t>https://www.elconfidencialdigital.com/articulo/politica/miedo-vox-abre-puerta-independentistas-apoyen-presupuestos-pedro-sanchez/20181203190635118921.html</t>
  </si>
  <si>
    <t>Con KALERGI EUROPA será EURO.......</t>
  </si>
  <si>
    <t>😡😡😡🤤💤💤💤👹😽🙌🙌🙌☠️☠️☠️</t>
  </si>
  <si>
    <t>Desde que los independentistas llamarán a la Constitución "la dictadura del 78", Pedro Sánchez no ha dejado de querer reformarla para pagar deudas de Moncloa.</t>
  </si>
  <si>
    <t>🇪🇸Juan Garabito🇪🇸 ¡¡¡ Cuidado, soy Facha !!!</t>
  </si>
  <si>
    <t>Con ésto está gobernando Pedro Sánchez.</t>
  </si>
  <si>
    <t>https://pbs.twimg.com/media/Dt2BynJW4AAFlcz.jpg</t>
  </si>
  <si>
    <t>Arran convoca protestas el 21-D contra visita de Pedro Sánchez tras los incidentes de Terrassa /Girona! HASTA CUANDO? TIENE QUE HABER GUERRA? ⁦@PSOE⁩ ⁦@MinisterioJusti⁩ ⁦@fiscal_es⁩ ⁦@desdelamoncloa⁩ Y TORRA ENSALZANDO LA VIOLENCIA</t>
  </si>
  <si>
    <t>Beni.</t>
  </si>
  <si>
    <t>Hola Pedro Sánchez y franco pa cuando .eres más tonto que el palo una escoba</t>
  </si>
  <si>
    <t>jhzjzjxnkizkbZvZ</t>
  </si>
  <si>
    <t>oviedista</t>
  </si>
  <si>
    <t>Lauren</t>
  </si>
  <si>
    <t>👌👍👏👏👏👏El 'palo' de Rosa Díez a Pedro Sánchez a cuenta de Vox</t>
  </si>
  <si>
    <t>Cegata y sorda 🙃</t>
  </si>
  <si>
    <t>Arran convoca protestas el 21-D contra la visita de Pedro Sánchez tras los incidentes de Terrassa y Girona. HASTA CUANDO? TIENE QUE HABER GUERRA? ⁦@sanchezcastejon⁩ ⁦@desdelamoncloa⁩ ⁦@CasaReal⁩ ⁦@Senadoesp⁩ ⁦@interiorgob⁩</t>
  </si>
  <si>
    <t>Romina roy</t>
  </si>
  <si>
    <t>Un punto de vista tiende a dominar la sociedad porque el resto, aunque al principio sea mayoría, abandona y enmudece. (Noelle Neuman)</t>
  </si>
  <si>
    <t>Pedro Sánchez ve necesario el testimonio de las víctimas del terrorismo para que "nadie, nunca, cambie la histori...</t>
  </si>
  <si>
    <t>http://va.newsrepublic.net/s/kyTwMY</t>
  </si>
  <si>
    <t>Enrique de Diego</t>
  </si>
  <si>
    <t>Creo sinceramente que Torrente lo haría mucho mejor que Pedro Sánchez en comandita con Pablo Echenique. Estos sí que dan risa y miedo por lo inútiles que son.</t>
  </si>
  <si>
    <t>Periodista y escritor. Presidente de Plataforma de las Clases Medias. Autor de Casta parasitaria, El manifiesto de las clases medias y La monarquía inútil</t>
  </si>
  <si>
    <t>http://www.ramblalibre.com</t>
  </si>
  <si>
    <t>Maby</t>
  </si>
  <si>
    <t>Este no se ha leído ni su tesis.!!! " @sanchezcastejon pide incluir en la Constitución la igualdad entre hombres y mujeres... ¡que ya está en el art. 14 desde 1978!"</t>
  </si>
  <si>
    <t>https://okdiario.com/espana/2018/12/07/pedro-sanchez-reformar-constitucion-incluir-igualdad-hombres-mujeres-articulo-14-desde-hace-40-anos-3437620/amp</t>
  </si>
  <si>
    <t>En algún lugar...</t>
  </si>
  <si>
    <t>La curiosidad mató al gato... Pero murió sabiendo.!!!</t>
  </si>
  <si>
    <t>R. Gaab 🇪🇺</t>
  </si>
  <si>
    <t>Es muy significativo. En primer lugar significa que Pedro Sánchez piensa que sus posibles votantes son imbéciles. Y en segundo, que los votantes del PSOE son menos imbéciles que Pedro Sánchez. Pedro Sánchez ha destruido el PSOE desde dentro. RT @Proserpinasb: No os imagináis lo grave que es que el Presidente del Gobierno de un Estado democrático afirme de manera oficial que la Constitución hay que reformar la porque no recoge la igualdad y prohibe la discriminación por razón de sexo.</t>
  </si>
  <si>
    <t>https://twitter.com/Proserpinasb/status/1071051572422025216</t>
  </si>
  <si>
    <t>I speak in favor of free speech and civil rights. I dislike nationalism, xenophobia and racism. Irony. Punk writer.</t>
  </si>
  <si>
    <t>http://gaab75.blogspot.com</t>
  </si>
  <si>
    <t>Zaragoza, Aragón</t>
  </si>
  <si>
    <t>Un apunte a tener en cuenta: el dueño-creador de esa web de recogida de firmas change org. es un informático-gay relacionado con el loby LGTB y actual Secretario de Estado para las Comunicaciones(nombrado por Pedro Sanchez, por ayudarle a llegar al Gob/ etc, etc...) RT @criadosan: Ahora se entiende aún más el por qué la web de @vox_es se colapsa por la gente, el pueblo quiere afiliarse: Campaña de firmas para ilegalizar VOX: "Es anticonstitucional"</t>
  </si>
  <si>
    <t>https://twitter.com/criadosan/status/1071148242262478849
https://www.elespanol.com/espana/politica/20181204/campana-firmas-ilegalizar-vox-anticonstitucional/358214954_0.html</t>
  </si>
  <si>
    <t>MIGUEL GARCIA-CELAY</t>
  </si>
  <si>
    <t>Pedro Sánchez quiere reformar la Constitución para incluir la igualdad entre hombres y mujeres</t>
  </si>
  <si>
    <t>https://m.eldiario.es/politica/Pedro-Sanchez-reforma-Constitucion-igualdad_0_843416144.html</t>
  </si>
  <si>
    <t>leganes</t>
  </si>
  <si>
    <t>Profesión: Bombero por mi cuenta. Aficiones: el Voley Playa, el Derecho Justo y la Buena Política.</t>
  </si>
  <si>
    <t>Manuel Ford Álvarez</t>
  </si>
  <si>
    <t>Uno, que no sabe de donde salió, donde está, ni donde estará. Pedro Sánchez confía en quedarse con el centro político de cara al nuevo ciclo electoral  vía @eldiarioes</t>
  </si>
  <si>
    <t>Bizkaia, País Vasco</t>
  </si>
  <si>
    <t>"Las meteduras de pata de Pedro Sánchez ". Escándalos, rectificaciones, cambios de criterio... son sólo algunas que demuestran la mala gestión del socialista...</t>
  </si>
  <si>
    <t>https://youtu.be/Jyfz2SZyseY</t>
  </si>
  <si>
    <t>Marty Brunet</t>
  </si>
  <si>
    <t>Casado acusa a Pedro Sánchez de ser cómplice de la “kale borroka independentista” por no aplicar el 155</t>
  </si>
  <si>
    <t>http://va.newsrepublic.net/s/vRybMY</t>
  </si>
  <si>
    <t>MCN. Festivals of Music, Cibernetica, Nature. Cadi 1984-1990. 'Science As Man's Liberation Respecting and Protecting The Natural World'</t>
  </si>
  <si>
    <t>https://www.facebook.com/martin.brunetpuigbo</t>
  </si>
  <si>
    <t>Caso Aislado - Política e inmigración</t>
  </si>
  <si>
    <t>Pedro Sánchez es recibido entre pitos y abucheos en el Congreso de los Diputados</t>
  </si>
  <si>
    <t>https://casoaislado.com/pedro-sanchez-y-zapatero-son-recibidos-entre-pitos-y-abucheos-en-el-congreso-de-los-d/</t>
  </si>
  <si>
    <t>Cuenta oficial de @CasoAislado_es Medio independiente.</t>
  </si>
  <si>
    <t>Tras reunirse con Soros, Sánchez se compromete ante Merkel a acoger en España a miles de refugiados que se encuentran en Alemania La marcha de refugiados de Alemania a España se debe a la crisis política que Merkel afronta en su país</t>
  </si>
  <si>
    <t>http://www.alertadigital.com/2018/06/29/pedro-sanchez-da-oxigeno-a-merkel-se-compromete-a-acoger-en-espana-a-miles-de-refugiados-que-se-encuentran-en-alemania/</t>
  </si>
  <si>
    <t>http://va.newsrepublic.net/s/vFebMY</t>
  </si>
  <si>
    <t>Raleigh NC</t>
  </si>
  <si>
    <t>http://dlvr.it/Qt5YQv</t>
  </si>
  <si>
    <t>https://pbs.twimg.com/media/Dt19RmfVsAAK3JB.jpg</t>
  </si>
  <si>
    <t>Raleigh, NC</t>
  </si>
  <si>
    <t>Credit Repair in Raleigh North Carolina 27601 call (888) 502-1260 https://www.facebook.com/Credit-Repair-in-North-Carolina-110430229441280/ https://es-la.facebook.com/Credit-Repair-in-North-Carolina-110430229441280/ https://m.facebook.com/Credit-Repair-in-North-Carolina-110430229441280/</t>
  </si>
  <si>
    <t>https://www.facebook.com/Credit-Repair-in-North-Carolina-110430229441280/</t>
  </si>
  <si>
    <t>🇪🇸 Nothing 🇪🇸</t>
  </si>
  <si>
    <t>Francisco Javier</t>
  </si>
  <si>
    <t>al sur de Tractoria</t>
  </si>
  <si>
    <t>Piloto! Científico! Divulgador! En ese orden. No respondo twitter! Tuiteo en español. EN | DE | FR | CA #Liberal "With love and patience, nothing is impossible"</t>
  </si>
  <si>
    <t>Una sirena 🧜🏽‍♀️</t>
  </si>
  <si>
    <t>Seguro fui yo porque venía en el bus de San Pedro dormida y con la boca abierta 😂😂😂 RT @monseg97: El mae que va a la par mia va super dormido y cabeceando que ya veo donde me cae encima 🙂</t>
  </si>
  <si>
    <t>https://twitter.com/monseg97/status/1071136748376334338</t>
  </si>
  <si>
    <t>Cartago, Costa Rica</t>
  </si>
  <si>
    <t>⚠️PRECAUCIÓN ⚠️. Intento de pastelera,intento de bailarina e intento de humana...ninguno funcionó.</t>
  </si>
  <si>
    <t>Antonio</t>
  </si>
  <si>
    <t>Pedro Sánchez ve necesario el testimonio de las víctimas del terrorismo para que "nadie, nunca, cambie la historia"</t>
  </si>
  <si>
    <t>Pedro Sánchez aleja la posibilidad de elecciones en marzo: “Seguiremos gobernando”  Cuanto mas tarde peor sera para el PSOE</t>
  </si>
  <si>
    <t>https://elpais.com/politica/2018/12/06/actualidad/1544108922_690929.html#?ref=rss&amp;format=simple&amp;link=link</t>
  </si>
  <si>
    <t>Arturo Lopez Levy</t>
  </si>
  <si>
    <t>Pedro Sánchez, jefe del gobierno español, inicia histórica visita a #Cuba</t>
  </si>
  <si>
    <t>https://noticieros.televisa.com/ultimas-noticias/cuba-gobierno-espana-visita-pedro-sanchez/</t>
  </si>
  <si>
    <t>Denver. Colorado</t>
  </si>
  <si>
    <t>Arturo Lopez Levy is a Bruce Gray Fellow and Visiting Assistant Professor at Gustavus Adolphus College. He is an expert on Latin America, U.S. Politics and Cuba</t>
  </si>
  <si>
    <t>http://www.huffingtonpost.com/arturo-lopez-levy/</t>
  </si>
  <si>
    <t>Politikeo</t>
  </si>
  <si>
    <t>Pedro Sánchez en Telecinco: “La mejor opción para Andalucía es el PSOE y no el radicalismo de VOX”</t>
  </si>
  <si>
    <t>https://casoaislado.com/pedro-sanchez-ataca-a-vox-en-telecinco-la-mejor-opcion-para-andalucia-es-el-psoe/</t>
  </si>
  <si>
    <t>SOL ✺✺</t>
  </si>
  <si>
    <t>Adquiere el libro "Cómo empeorar las cosas" de Pedro Sánchez</t>
  </si>
  <si>
    <t>Transitamos por este mundo sin enterarnos de nada. - Puedes seguirme también en mi cuenta principal @vega_sol</t>
  </si>
  <si>
    <t>Xoan Xoan</t>
  </si>
  <si>
    <t>💥💥💥ME VA A PERDONAR SRA. DÍAZ PERO USTED NO SE HA ENTERADO DE NADA.., 👉SIGUE USTED EN SU PULSO PERSONAL CON LA DIRECCIÓN FEDERAL, Y EN PARTICULAR CON PEDRO SÁNCHEZ, ADRIANA Y ÁBALOS, 👉SE EQUIVOCA Y MUCHO.., NO LA QUEREMOS NI EN PINTURA ... #GPEDROSC</t>
  </si>
  <si>
    <t>https://www.vozpopuli.com/_47601af7</t>
  </si>
  <si>
    <t>Soy fiel al PSOE, a mi SG Pedro Sánchez, así como a su equipo...</t>
  </si>
  <si>
    <t>paquixula</t>
  </si>
  <si>
    <t>¿Y tú crees que el calentamiento global, la crisis energética y la gripe son culpa de Pedro Sánchez o de Pablo Iglesias? Porque a este paso, pronto habrá quien lo diga.</t>
  </si>
  <si>
    <t>Lo que usted piense de mi no es asunto mío.</t>
  </si>
  <si>
    <t>Dextrógiro</t>
  </si>
  <si>
    <t>Que dice qué? Go...qué? Es que no se entiende nada. Pedro Sánchez aleja la posibilidad de elecciones en marzo: “Seguiremos gobernando” | España | EL PAÍS</t>
  </si>
  <si>
    <t>https://elpais.com/politica/2018/12/06/actualidad/1544108922_690929.html</t>
  </si>
  <si>
    <t>Barcelona. Europe.</t>
  </si>
  <si>
    <t>Doctarate in Law and studies in physics.</t>
  </si>
  <si>
    <t>cristian pacheco</t>
  </si>
  <si>
    <t>hasta cuando nos van a imponer a pedro sanchez del psoe al nadie quiere y que esta rompiendo españa arruinándonos a todos mientras el vive como un rico viajando por el mundo a costa del dinero publico al final llevara a españa a la quiebra</t>
  </si>
  <si>
    <t>ya solo falta que le de el control del cni policía y guardia civil y del ejercito al coletas de podemos comunista y imponga la ley marcial para que pedro sanchez sea presidente por siempre como maduro en Venezuela</t>
  </si>
  <si>
    <t>Manuel Eduardo Ponte</t>
  </si>
  <si>
    <t>PODEMOS y Bildu, nunca han sido la lista más votada. Y gobierna en muchas partes España, gracias al apoyo del PSOE de Pedro Sánchez. 😡😠😡😠 RT @rosadiezglez: Dice Celaá, ejerciendo desde Moncloa como portavoz del PSOE, que en Andalucia la única que está ‘legitimada’ para gobernar es Susana Díaz porque es ‘la lista más votada’. Es la primera vez que un miembro del Gobierno cuestiona la legitimidad de Sánchez para ser Presidente.</t>
  </si>
  <si>
    <t>https://twitter.com/rosadiezglez/status/1071051624091656192?s=04</t>
  </si>
  <si>
    <t>Sociólogo, Antropólogo, Etólogo y Ciencias Políticas. Estratega social media de comunicación. Analista tecnológico experto en empresa, cultura y marketing.</t>
  </si>
  <si>
    <t>http://www.manuelponte.com</t>
  </si>
  <si>
    <t>Sup.AudienciaNacional</t>
  </si>
  <si>
    <t>#NewsAN:@sanchezcastejon celebra la detención del "ultra" García Juliá: "la Democracia y la Justicia siempre vencen a sus enemigos"  @Sup_Policia @supmadrid @desdelamoncloa @PoderJudicialEs @justiciagob @SGJusticia</t>
  </si>
  <si>
    <t>https://www.europapress.es/nacional/noticia-pedro-sanchez-celebra-detencion-ultra-garcia-julia-democracia-justicia-siempre-vencen-enemigos-20181206231243.html</t>
  </si>
  <si>
    <t>Twitter oficial del SUP en la Audiencia Nacional. Actualidad sindical y Judicial. Luchamos por tus derechos. 💪🏻💪🏻💪🏻 Síguenos. 👨🏻‍🎓👩🏻‍🎓⚖️🏢</t>
  </si>
  <si>
    <t>oscarluislópez@gmail.com</t>
  </si>
  <si>
    <t>Estas personas son de España. No son fachas de la ultra izquierda de Pablo Iglesias y la ETA y Pedro Sánchez están en el punto de mira</t>
  </si>
  <si>
    <t>pic.twitter.com/Lcmt9lfLv1</t>
  </si>
  <si>
    <t>uno mas Cristiano y amante de mis tradiciones y cultura. Si Español. Amo la verdad la honradez y la dignidad. Respecto los 10 mandamientos.</t>
  </si>
  <si>
    <t>Alfredo Martinez</t>
  </si>
  <si>
    <t>Monica espero que re escuche Pedro Sánchez , al final será bueno el resultado de Vox en Andalucía ,si los que dicen llamarse Socialistas gobiernan para el pueblo . RT @monicaoltra: 📺Hay un hecho diferencial en el gobierno de la Comunitat Valenciana y es que @compromis está en él. La vacuna contra los extremismos de derechas son las políticas de cohesión social como las que hacemos en la Comunitat Valenciana</t>
  </si>
  <si>
    <t>https://twitter.com/monicaoltra/status/1071104149255831553</t>
  </si>
  <si>
    <t>pic.twitter.com/FtxUfvuSi8</t>
  </si>
  <si>
    <t>ZULU-AG</t>
  </si>
  <si>
    <t>este gobierno del psoe de pedro sanchez al que nadie a votado imponiéndose a todos los españoles y con el apoyo de los que quieren dividir y romper españa y separarnos a todos es igual que lo de maduro en Venezuela y nos esta trayendo pobreza paro persecuciones a la gente</t>
  </si>
  <si>
    <t>Jaume Soler i Serra</t>
  </si>
  <si>
    <t>En @ecdeportes: Sánchez asistirá al River-Boca, al que también se espera que acuda Macri</t>
  </si>
  <si>
    <t>https://www.elconfidencial.com/deportes/futbol/2018-12-07/pedro-sanchez-final-copa-libertadores-river-boca-macri_1692622/?utm_source=twitter&amp;utm_medium=social&amp;utm_campaign=BotoneraWeb</t>
  </si>
  <si>
    <t>catalunya</t>
  </si>
  <si>
    <t>Ex- Agrupació Sardanista-Unió de Botiguers-Unió Democràtica-Federació de Comerç de Catalunya-Cambra de Comerç de Girona- SECOT --Casal de Jubilats</t>
  </si>
  <si>
    <t>http://jaumesolerserra.blogspot.com</t>
  </si>
  <si>
    <t>Angeles3333333331🇪🇸</t>
  </si>
  <si>
    <t>para mí qué pedo Sánchez paga muy bien CIS para que siempre diga que el ganador de las elecciones generales cuando las convoquen el Señor Pedro Sánchez el PSOE será el ganador pues Pedro Sánchez cuando convoques el tienes generales te vas a quedar como un</t>
  </si>
  <si>
    <t>Catalunya es ESPAÑA 🇪🇸❤🇪🇸</t>
  </si>
  <si>
    <t>SOY CATALANA PERO NO SOY SEPARATISTA 🇪🇸🇪🇸 ❤🇪🇸🇪🇸</t>
  </si>
  <si>
    <t>Clara😎✌👊👊👊🌷🌷🌷</t>
  </si>
  <si>
    <t>Gran Canaria España</t>
  </si>
  <si>
    <t>contar algo de mi? los que me conocen saben todo, el resto con preguntar, que no significa que yo vaya contestar.</t>
  </si>
  <si>
    <t>sol ✺</t>
  </si>
  <si>
    <t>Transitamos por este mundo sin enterarnos de nada. Mi otro yo ➡ @solvega50</t>
  </si>
  <si>
    <t>los del psoe d pedro sanchez están permitiendo que los violentos d los separatistas controle la policía para perseguir a la gente que no piensa como ellos igual que hace el psoe de pedro sanchez permitiendo a los violentos de podemos comunista y de vildu terrorista</t>
  </si>
  <si>
    <t>Bellita</t>
  </si>
  <si>
    <t>Pedro Sánchez, supongo que tu plan después de salir de la Moncloa será irte de España no? Serás recordado como el PRESI CONSENTIDOR, por lo de Cataluña, lo de Andalucía, lo que sufre nuestra GC en la frontera, etc. No te da vergüenza??? Piénsalo, @sanchezcastejon</t>
  </si>
  <si>
    <t>Elche, España</t>
  </si>
  <si>
    <t>Alicantina, Ilicitana de adopción y después por amor. Mi familia lo primero y lo demás está de más. Del Atleti y del Elche</t>
  </si>
  <si>
    <t>Veo Info</t>
  </si>
  <si>
    <t>http://www.youtube.com/watch?v=O5jm3v4p0p0
http://www.veoinfo.com/pedro-sanchez-interviene-en-el-xi-congreso-del-partido-socialista-europeo/</t>
  </si>
  <si>
    <t>El Mundo</t>
  </si>
  <si>
    <t>En Veo Info - La Casa de la Información . Las últimas noticias sobre Política, sucesos, deportes, ciencia, tecnología, y mucho + en Veo Info.</t>
  </si>
  <si>
    <t>http://Veoinfo.com</t>
  </si>
  <si>
    <t>Teresa</t>
  </si>
  <si>
    <t>No se pierde ni una, el perfecto gorrón!!! Pedro Sánchez asistirá a la Final de la Libertadores en el Bernabéu</t>
  </si>
  <si>
    <t>https://www.20minutos.es/noticia/3511142/0/pedro-sanchez-asistira-final-libertadores-bernabeu?utm_source=twitter.com&amp;utm_medium=socialshare&amp;utm_campaign=mobile_app</t>
  </si>
  <si>
    <t>Privilegiada que vive en Málaga, mi mejor trabajo ser madre, mi pasión el mar; valoro y disfruto lo que tengo. Mis fallos? Uiss que lo averiguen los demás...</t>
  </si>
  <si>
    <t>Emi Ugena</t>
  </si>
  <si>
    <t>Ugena, Toledo</t>
  </si>
  <si>
    <t>12 años en políticas es mucho tiempo. Adios...... Ahora, dedicada a mi familia y mi trabajo. Se lo merecen</t>
  </si>
  <si>
    <t>https://pbs.twimg.com/media/Dt0diKTW0AEzxHl.jpg</t>
  </si>
  <si>
    <t>Juan Linares</t>
  </si>
  <si>
    <t>SUPERCLASICO. Presidente del gobierno Español, Pedro Sánchez Pérez-Castejón, estará el domingo en el Bernabéu.</t>
  </si>
  <si>
    <t>BOGOTÁ</t>
  </si>
  <si>
    <t>Empresario y periodista, viajero, con ilusiones de escritor.</t>
  </si>
  <si>
    <t>la ministra del psoe cela dice que no entiende que gobierne el pp y ciudadanos con apoyo de vox y sin embargo si entiende que pedro sanchez con solo 82 diputados gobierne españa con apoyo de podemos comunista vildu de los exterroristas y de la cup separatista</t>
  </si>
  <si>
    <t>http://dlvr.it/Qt5Rv7</t>
  </si>
  <si>
    <t>https://pbs.twimg.com/media/Dt11IU-UUAAiYeX.jpg</t>
  </si>
  <si>
    <t>Carvi</t>
  </si>
  <si>
    <t>De verdad el español medio es tan imbécil para despues de ver lo que permite Pedro Sánchez en Cataluña con tal de amarrarse a la Moncloa seguir votandole? Ve bien que un partido con 84 diputados pervierta la democracia hasta ese punto? Su doble rasero España /Andalucía?</t>
  </si>
  <si>
    <t xml:space="preserve">Reino de Valencia </t>
  </si>
  <si>
    <t>Un día fui liberal. Hoy me etiquetan de facha y una vez ves quien te lo llama, empiezas a llevarlo con orgullo.</t>
  </si>
  <si>
    <t>Antonio Gaspar</t>
  </si>
  <si>
    <t>Vaya teatro, una vergüenza para España por culpa del traidor y yonqui de poder Pedro Sánchez. RT @libertaddigital: La dieta Torra: dos días sin comer antes de Navidad</t>
  </si>
  <si>
    <t>https://twitter.com/libertaddigital/status/1071133020101402624
http://dlvr.it/Qt5Kx9</t>
  </si>
  <si>
    <t>Alicante )( España )( Europa</t>
  </si>
  <si>
    <t>Autónomo sin vacaciones. Simpatizante de @CiudadanosCs porque hay mucho que cambiar a mejor y más vale bueno por conocer que malo conocido. No atiendo mermados.</t>
  </si>
  <si>
    <t>LdeLandismo</t>
  </si>
  <si>
    <t>bueno, Pedro Sanchez es economista RT @jfalbertos: Os informo de que Annegret Kramp-Karrenbauer, la nueva líder democristiana alemana, es politóloga.</t>
  </si>
  <si>
    <t>https://twitter.com/jfalbertos/status/1071073606619287554</t>
  </si>
  <si>
    <t>Para tu música, escucha la mia</t>
  </si>
  <si>
    <t>#LosPinochistas #estaganao #loslandistas</t>
  </si>
  <si>
    <t>felix de la flor</t>
  </si>
  <si>
    <t>El Gobierno pide a PP y a Ciudadanos que no hagan de Andalucía “la cuna de la ultraderecha” - si Pedro Sánchez necesitará sus votos se aliaría con VOX o con el diablo como ya lo ha hecho para “okupar” la Moncloa.</t>
  </si>
  <si>
    <t>https://elpais.com/politica/2018/12/07/actualidad/1544185491_712670.html</t>
  </si>
  <si>
    <t>El pacto migratorio que firmará Pedro Sánchez en Marrakech considerará delito criticar la inmigración</t>
  </si>
  <si>
    <t>https://casoaislado.com/pacto-migratorio-firmara-sanchez-marrakech-considerara-delito-criticar-la-inmigracion-cerrara-los-medios-informen-las-criticas/</t>
  </si>
  <si>
    <t>Julián</t>
  </si>
  <si>
    <t>Crisis en el Govern: Torra exige cambios a Buch en Interior vía @cronicaglobal  que opina el sr. Ministro de Pedro Sánchez,por que de España no lo es!</t>
  </si>
  <si>
    <t>https://cronicaglobal.elespanol.com/politica/torra-exige-cambios-buch-interior_205197_102.html.y</t>
  </si>
  <si>
    <t>x una España + Unida + justa -Corrupta x una democracia no partitocracia .Mi opinión es personal y no comparto todo lo q RT</t>
  </si>
  <si>
    <t>Iván L. 🏳️‍🌈</t>
  </si>
  <si>
    <t>Mi amigo Héctor (aquaman_sireno_marino en IG) ha compartido su direct que le ha enviado a Pedro Sánchez en Stories y tiene toda la razón del mundo...</t>
  </si>
  <si>
    <t>https://pbs.twimg.com/media/Dt10Y-oX4AAoyKK.jpg</t>
  </si>
  <si>
    <t>Nado en Xinzo. Ourense-Madrid</t>
  </si>
  <si>
    <t>Produción de audiovisuais n'@afarixa. Productor de @linea40_ou. Ubuntu es lealtad, y eso es lo que de verdad importa. Socialista. En @XSGalicia</t>
  </si>
  <si>
    <t>http://ivanlosadablog.wordpress.com</t>
  </si>
  <si>
    <t>Miguel A. Fdez.</t>
  </si>
  <si>
    <t>Pedro Sánchez se lo monto de cine, se...</t>
  </si>
  <si>
    <t>https://www.periodistadigital.com/politica/gobierno/2018/12/06/begona-gomez-6-000-euros-de-nomina-mensual-de-una-empresa-en-la-que-no-trabaja.shtml?fbclid=IwAR2sJ9oB6B_v40DE710TOlpibVN4VRt8GwqGkXICGWkGOGBVw6z8dhhJnPU#.XArYkVxjjvw.facebook</t>
  </si>
  <si>
    <t>Fuerte del Rey, Jaén, España</t>
  </si>
  <si>
    <t>http://www.youtube.com/user/TheBarbazul5</t>
  </si>
  <si>
    <t>Lo sé ! Susana Díaz y Pedro Sánchez RT @maria6tata: Hay amores químicamente perfectos, geográficamente improbables. Históricamente inmortales, físicamente estimulantes. Matemáticamente imposibles....</t>
  </si>
  <si>
    <t>https://twitter.com/maria6tata/status/1070960606914756608</t>
  </si>
  <si>
    <t>Piel de Toro Madrid Pso.del Prado, 42 http://www.pieldetoro.com</t>
  </si>
  <si>
    <t>Ademar</t>
  </si>
  <si>
    <t>Han pasado 85 días... y la demanda de Sánchez sigue sin llegar</t>
  </si>
  <si>
    <t>https://okdiario.com/espana/2018/12/07/han-pasado-85-dias-demanda-pedro-sanchez-sigue-sin-llegar-3437752#.XArYj2zw1jg.twitter</t>
  </si>
  <si>
    <t>“A lo largo del río no encontré ningún puente ese día sin fin.”</t>
  </si>
  <si>
    <t>Paqui</t>
  </si>
  <si>
    <t>Llego PEDRO SÁNCHEZ al Gobierno y se instauró en TVE la censura. Con franco parece que había más libertad</t>
  </si>
  <si>
    <t>Granada C.F Addict</t>
  </si>
  <si>
    <t>Consternación en Linares por la pérdida de Luis Pedro Sánchez, presidente de ACIL | Ideal</t>
  </si>
  <si>
    <t>https://www.futbol-addict.com/es/article/granada-cf/consternacion-en-linares-por-la-perdida-de-luis-pedro-sanchez-presidente-de-acil/5c0ad74fc8c9086c5d43d5f5?utm_campaign=post-auto&amp;utm_medium=twitter&amp;utm_source=granada-cf-addict</t>
  </si>
  <si>
    <t>Grenade, Espagne</t>
  </si>
  <si>
    <t>¡No te pierdas ninguna noticia del Granada C.F con Granada C.F Addict!</t>
  </si>
  <si>
    <t>http://www.futbol-addict.com/es/news/liga-santander/granada-cf</t>
  </si>
  <si>
    <t>javier</t>
  </si>
  <si>
    <t>La única forma para que Pedro Sánchez deje de mentir es taparle la boca. 🙊</t>
  </si>
  <si>
    <t>https://twitter.com/libertaddigital/status/1070764838387769344
http://dlvr.it/Qt0jgl</t>
  </si>
  <si>
    <t>Navarra, Comunidad Foral de Na</t>
  </si>
  <si>
    <t>No pierdo el tiempo discutiendo con fascistas.FUERA CORRUPTOS DE LAS INSTITUCIONES. Solo aspiro a parecerme a la voz de mi conciencia....😇</t>
  </si>
  <si>
    <t>https://pbs.twimg.com/media/Dt10BKVWkAAfv-w.jpg</t>
  </si>
  <si>
    <t>elizabeth</t>
  </si>
  <si>
    <t>nemo patriam quia magna est amat, sed quia sua</t>
  </si>
  <si>
    <t>Caveman</t>
  </si>
  <si>
    <t>impresionante. Qué parte de "Los españoles son iguales ante la ley, sin que pueda prevalecer discriminación alguna por razón de nacimiento, raza, sexo, religión, opinión o CUALQUIER otra CONDICIÓN O CIRUCNSTANCIA PERSONAL O SOCIAL." no entiende Pedro Sánchez? RT @sanchezcastejon: Nuestra Constitución debe reconocer a las personas con #discapacidad como ciudadanos libres e iguales. Ese es el objetivo del Anteproyecto de reforma del art. 49 aprobado hoy en el #CMin. La dignidad y los derechos de este colectivo han de estar reflejados en nuestra Carta Magna.</t>
  </si>
  <si>
    <t>United Kingdom</t>
  </si>
  <si>
    <t>Work in progress en todos los sentidos. Des de les Illes Britàniques segueixo perplexe el que passa al meu païs.</t>
  </si>
  <si>
    <t>Niki</t>
  </si>
  <si>
    <t>Pedro Sánchez le dara cientos de millones a la empresa de su mujer por contrata a chavales RT @AntonioRNaranjo: El Gobierno piensa crear empleo juvenil con orientadores. Intermediarios, el Instituto de la Juventud y las universidades. Y sin un euro. Elijan ahora: ¿Reír o llorar?</t>
  </si>
  <si>
    <t>https://twitter.com/AntonioRNaranjo/status/1071040756461289472</t>
  </si>
  <si>
    <t>Taky - Nylaya</t>
  </si>
  <si>
    <t>La España Viva</t>
  </si>
  <si>
    <t>Pedro Sánchez pide que en Andalucía sí se "permita gobernar" a la lista más votada  Entonces tendria que governar en España el PP y no Pedro Sanchez</t>
  </si>
  <si>
    <t>https://okdiario.com/espana/andalucia/2018/12/01/pedro-sanchez-pide-que-andalucia-si-permita-gobernar-lista-mas-votada-3415263?utm_term=Autofeed&amp;utm_campaign=ok&amp;utm_medium=Social&amp;utm_source=Twitter#Echobox=1543692017</t>
  </si>
  <si>
    <t>diaz lorena #NSB</t>
  </si>
  <si>
    <t>El verdadero Pedro Sánchez - InfoVlogger  vía @YouTube</t>
  </si>
  <si>
    <t>https://youtu.be/OBEluUwFIu0</t>
  </si>
  <si>
    <t>🖖Soy AutoAnónimo🇪🇸</t>
  </si>
  <si>
    <t>Pedro Kennedy-Sánchez quiere REFORMAR LA CONSTITUCIÓN luego Pedro Kennedy-Sánchez es INCONSTITUCIONAL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</si>
  <si>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Regne Valencia (Reino España)</t>
  </si>
  <si>
    <t>Autónomo Anónimo. Valencia🇪🇸España🇪🇺Europa Demócrata, anticomunista y antisocialista. Izquierda=Pobreza. #NoMosFareuCatalans</t>
  </si>
  <si>
    <t>Ascen Gómez</t>
  </si>
  <si>
    <t>Pedro Sánchez ve necesario el testimonio de las víctimas del terrorismo para que "nadie, nunca, cambie la historia"  👍👏🎩👒</t>
  </si>
  <si>
    <t>http://flip.it/Qw5Pvz</t>
  </si>
  <si>
    <t>Barcelona, Cataluña</t>
  </si>
  <si>
    <t>Dona, optimista de la vida!♡♧☆</t>
  </si>
  <si>
    <t>Esperanza Galindo</t>
  </si>
  <si>
    <t>http://esperanzagalindo.com/quien-soy/</t>
  </si>
  <si>
    <t>http://www.esperanzagalindo.com</t>
  </si>
  <si>
    <t>Fútbol Super Fans</t>
  </si>
  <si>
    <t>Sánchez asistirá al River-Boca, al que también se espera que acuda Macri</t>
  </si>
  <si>
    <t>https://buff.ly/2B00Xkx</t>
  </si>
  <si>
    <t>Solo noticias de Fútbol por y para fans del deporte rey ¡El fútbol es nuestra pasión!</t>
  </si>
  <si>
    <t>Fidel Vela</t>
  </si>
  <si>
    <t>A fin de alcanzar la Presidencia del Gobierno, Pedro Sánchez no tuvo reparos ni problemas de conciencia para aceptar los votos de los golpistas; del proetarra Bildu y de un partido ultraizquierdista leninista, que repudia el «régimen del 78» y propone la fragmentación del país.</t>
  </si>
  <si>
    <t>Escritor: La Consulta, La Oficina, Las Leyes del Éxito, Proceso de paz-Poencia marco, Por tierras de Guadalajara y Soria, Diga dos, El Ruta. Conversaciones en..</t>
  </si>
  <si>
    <t>http://fidelvela.blogspot.com</t>
  </si>
  <si>
    <t>Jajajaja ja?qué dolor dé cabeza Pedro Sánchez como té aplaudían , da gusto de ir así por la vida : El CIS tiene que Ser O Sordo O Ciego perdido chaval .no das un paso qué no te piten o té tiren cosas ! En el único sitio que fuistes con tú churri que no te pitaron fue en la disco RT @GuajeSalvaje: Según los resultados de la encuesta del CIS, es imposible que nadie abucheara a Pedro Sánchez a su llegada al Congreso hoy. Por tanto, este vídeo no existe. Tapaos los oídos y cerrad los ojos si le dais al 📽️.</t>
  </si>
  <si>
    <t>https://twitter.com/GuajeSalvaje/status/1070788263814852608</t>
  </si>
  <si>
    <t>pic.twitter.com/NSWiz0jV9z</t>
  </si>
  <si>
    <t>CONCHA ZARAGOZA</t>
  </si>
  <si>
    <t>Pedro Sánchez, pitoniso e incumplidor de la palabra ¿Pero a quién quiere engañar? Por Rafael Gómez de Marcos</t>
  </si>
  <si>
    <t>https://lapaseata.net/2018/12/07/pedro-sanchez-pitoniso/</t>
  </si>
  <si>
    <t>ZARAGOZA - ESPAÑA</t>
  </si>
  <si>
    <t>Casada, tres hijos. No soporto la mentira ni la hipocresía. Mi lema...Carpe Diem.</t>
  </si>
  <si>
    <t>El PSOE quiere atarle las manos a Pedro Sánchez 📣 Estructura de estructurar, ⚠️ EL MOMENTO,</t>
  </si>
  <si>
    <t>https://goo.gl/3vcmVH?sxp33=484441243</t>
  </si>
  <si>
    <t>Vicent Vercher</t>
  </si>
  <si>
    <t>Entrevista | Pedro Sánchez: “A los independentistas les da igual el modelo de Estado, quieren ir contra el ser de España”</t>
  </si>
  <si>
    <t>Vine al mundo un 4 de octubre de 1950 y continuo comprometido en cuantas cuestiones se presentan para hacer de este mundo un lugar mas habitable.</t>
  </si>
  <si>
    <t>http://vicentvercher.wordpress.com</t>
  </si>
  <si>
    <t>R. Salinas E.</t>
  </si>
  <si>
    <t>La RAE debería revisar el significado de “amoral”, como acepción ¿cabría “Pedro Sánchez”? RT @CiudadanosCs: ❓ ¿Qué es el #Sanchismo? 📚 Según el #DiccionarioPolítico, dícese de la corriente política cuya única finalidad es llegar al poder a cualquier precio. 👤 Su fundador, Pedro Sánchez, optó por ‘podemizarse’ y legitimar a aquellos que quieren romper el país.</t>
  </si>
  <si>
    <t>https://twitter.com/ciudadanoscs/status/1071088190893649921</t>
  </si>
  <si>
    <t>https://pbs.twimg.com/media/Dt1E9BnW0AA0u4B.jpg</t>
  </si>
  <si>
    <t>► ¿Descontentos? Así recibieron a Pedro Sánchez en el Congreso (Video)</t>
  </si>
  <si>
    <t>http://epmundo.com/2018/descontentos-asi-recibieron-a-pedro-sanchez-en-el-congreso-video/</t>
  </si>
  <si>
    <t>https://pbs.twimg.com/media/Dt1vSXVWkAARFE7.jpg</t>
  </si>
  <si>
    <t>Mariano P. Vidaller</t>
  </si>
  <si>
    <t>🇪🇺🇪🇸Español - Sangre 💯Catalana - ❤ 🇮🇨Canario</t>
  </si>
  <si>
    <t>Gabriel Albendea</t>
  </si>
  <si>
    <t>.@EdurneUriarte "Jamás volveremos a ser los mismos antes de Pedro Sánchez que después, con Pedro Sánchez" El falso doctor no es capaz de resolver nada y lo tiene dominado el independentismo. RT @Galbendeap: Torra impone a Buch una purga en los Mossos y enfurece a los agentes</t>
  </si>
  <si>
    <t>https://twitter.com/Galbendeap/status/1071132248538271745
https://www.elperiodico.com/es/politica/20181207/torra-impone-purga-mossos-buch-7189955?utm_source=twitter&amp;utm_medium=social</t>
  </si>
  <si>
    <t>Escritor y catedrático de filosofía, autor 16 libros:novelas ensayo y poesía, artículos en periódicos revistas. Soy hombre nada humano me es ajeno(Terencio).</t>
  </si>
  <si>
    <t>http://www.gabrielalbendea.com</t>
  </si>
  <si>
    <t>Andrea J*d*r</t>
  </si>
  <si>
    <t>Al menos el pedro sanchez se esta metiendo con la prostitución aunque nunca votaría al psoe</t>
  </si>
  <si>
    <t>Cartagena, donde hay castillos</t>
  </si>
  <si>
    <t>Intento ser amable con la gente, soy vegana, hago música, estudio piano, no bebo y soy trans, y bi, y al papa me lo paso por los cojones</t>
  </si>
  <si>
    <t>http://youtube.com/c/AndreaJDR</t>
  </si>
  <si>
    <t>Sí todo lo qué tú digas y más por eso tienes que salir por patas , porque nadie les voto entraron por la puerta de atrás , en complicidad dé Etarras , independientistas ciudadanos y todas esas jentuzas que Pedro Sánchez por poner su CULO en la Potrona le ofreció el oro y el moro RT @OrbitaEduardo: El cinismo y la desvergüenza de esta portavoz del Gobierno de P. Sanchez no tiene límites. Desde una Posición institucional marca como debe constituirse un Gobierno en Andalucía, Cuando ellos Gobiernan con 84 Diputados y Apoyados por NAZIS Golpistas Catalanes y Proetarras.</t>
  </si>
  <si>
    <t>https://twitter.com/OrbitaEduardo/status/1071126836032225280</t>
  </si>
  <si>
    <t>pic.twitter.com/L7D3gvaQr1</t>
  </si>
  <si>
    <t>CRUZADO D NAVARRA</t>
  </si>
  <si>
    <t>El 'palo' de Rosa Díez a Pedro Sánchez a cuenta de Vox.</t>
  </si>
  <si>
    <t>https://google.com/newsstand/s/CBIwkbyolT4</t>
  </si>
  <si>
    <t>. Siempre con los cuerpos y fuerzas de seguridad del estado. Equiparación salarial ya. UMC #YoTambienSoyGuardiaCivilDeAlsasua</t>
  </si>
  <si>
    <t>daniel brown</t>
  </si>
  <si>
    <t>Barcelona, Spain</t>
  </si>
  <si>
    <t>El Mundo España</t>
  </si>
  <si>
    <t>Arran convoca protestas el 21-D contra la visita de Pedro Sánchez tras los incidentes de Terrassa y Girona</t>
  </si>
  <si>
    <t>Sección 'España' del diario El Mundo. #EleccionesGenerales #Politica #Tribunales #Seguridad #CasaReal #Partidos #Debate #Corrupcion #UltimaHora</t>
  </si>
  <si>
    <t>http://www.elmundo.es/espana.html</t>
  </si>
  <si>
    <t>ToleranciaCero</t>
  </si>
  <si>
    <t>El 'palo' de Rosa Díez a Pedro Sánchez a cuenta de Vox  vox programa Vox espana #VoxValientes #VoxÚtil #Vox #VoxAbascalTV3</t>
  </si>
  <si>
    <t>¿Harto? Actúa. Pero sin ser un tonto útil. TOLERANCIA CERO con la mentira, la corrupción, la incoherencia.EMPEZANDO con los PROPIOS. Si no ... ya sabes ;))</t>
  </si>
  <si>
    <t>Antonio Peral Villar</t>
  </si>
  <si>
    <t>Ridículo apoteósico: “Pedro Sánchez pide reformar la Constitución para incluir un artículo․.. que ya existe” via @MediterraneoDGT</t>
  </si>
  <si>
    <t>Alicante (Spain)</t>
  </si>
  <si>
    <t>«No importa el camino que elijas, pero hazlo siempre con el corazón» (Confucio) ~ Presidente PP Alicante @AlicantePopular #ilusionPorElFuturo 🇪🇸 @PPopular</t>
  </si>
  <si>
    <t>http://antonioperal.blogspot.com</t>
  </si>
  <si>
    <t>Juan Puñetas</t>
  </si>
  <si>
    <t>Los dos cooperantes necesarios del disparate del Boca-River a celebrar en Madrid porque en Argentina no hay bemoles a disputarlo o, mejor, a suspenderlo y, de paso, a clausurar durante un par de años los campos de ambos clubes, son Pedro Sánchez y Macri. Irán al partido, claro.</t>
  </si>
  <si>
    <t>https://pbs.twimg.com/media/Dt1qJ5IXQAA_c9G.jpg</t>
  </si>
  <si>
    <t>Cansado de tanto malo, ignorante, bocazas, famosuelo, tonto por ciento, fanático, graciosillo sin gracia, envidioso, malhumorado y politicastro sectario.</t>
  </si>
  <si>
    <t>http://bitacoradas.tumblr.com</t>
  </si>
  <si>
    <t>ELOY GOMEZ</t>
  </si>
  <si>
    <t>El gobierno de Pedro Sanchez, que ha pactado con proetarras, separatistas, golpistas del 1-O y del 3%, y con los agitadores callejeros de podemos...dando clases a PP y C's de con quien tienen que pactar y con quien no. RT @AngelBaena5: Muy mal tienen que andar las encuestas por la extrema izquierda para que todos los partidos, desde PSOE hasta podemos y sus voceros mediáticos, hayan salido en tromba cargando contra @vox_es y calificando a este partido como de extrema derecha..🤣🤣🤣</t>
  </si>
  <si>
    <t>https://twitter.com/AngelBaena5/status/1071121616216748034
https://www.larazon.es/espana/el-gobierno-pide-a-pp-y-cs-evitar-que-andalucia-sea-cuna-de-la-ultraderecha-FM20867640?utm_source=twitter&amp;utm_medium=organic&amp;utm_campaign=lrzn_org_Fr_20_00</t>
  </si>
  <si>
    <t>Soy aficionado a la fotografía,retoque con Photoshop ,bolsa de valores..etc conocimientos de Economia , Frances, Italiano, Ingles , informatica ,musica etcc..</t>
  </si>
  <si>
    <t>Enol</t>
  </si>
  <si>
    <t>Lo más gracioso (y desastroso a la vez) de todo esto es que ahora Ciudadanos no parece tan de derechas y Pedro Sánchez puede parecer de izquierdas y todo...</t>
  </si>
  <si>
    <t>Derecho y Políticas UAM Ávila, Salobreña, Madrid, Torino</t>
  </si>
  <si>
    <t>Jorge Fernández</t>
  </si>
  <si>
    <t>IVETTE SÁNCHEZ - "AMOR PUEDES IRTE" (TUNANTADA - PRIMICIA 2019) ORQ. AMIGOS DEL MANTARO Música. Alcides Espíritu. Letra. Pedro Baldeón M. Reciente lanzamiento para la producción 2019 de "LA DULCE TENTACIÓN" De...</t>
  </si>
  <si>
    <t>https://www.facebook.com/musicomaniaco/posts/10156826800202902</t>
  </si>
  <si>
    <t>Lima, Perú.</t>
  </si>
  <si>
    <t>Polìtica, Filosofìa, Chamanismo, Animismo, Viajes, Surf, Curaduría de la Música, Promoción de danzas ancestrales autóctonas, Activismo social Anticorrupción</t>
  </si>
  <si>
    <t>http://perumundotvnoticias.wordpress.com/</t>
  </si>
  <si>
    <t>Ciencias Políticas: Pedro Sánchez está acabado en el PSOE, tendencia constante en 136 años en los partidos políticos. No hay nada que hacer. Medios, aparato, y agentes en contra Mi respuesta, Ciencias de la Conducta: impossible is nothing Lo que viene siendo Tedax 🤪🤭 RT @claudiperez: Gana Merkel. Again and again. Creo que es politóloga, así que el mundo está a punto de explotar.</t>
  </si>
  <si>
    <t>https://twitter.com/claudiperez/status/1071119318438555653
https://twitter.com/thomaswieder/status/1071071632754704390</t>
  </si>
  <si>
    <t>JSa | Promotora</t>
  </si>
  <si>
    <t>JSa | Legado: Brasil 44 Arquitectura :Javier Sánchez, Juan Reyes, Juan Manuel Soler, Alejandro Ita, Domingo Granados, Karen Cheirif, Milton Durán. Ubicación: Brasil 44, Col. Centro Histórico Año: 2006 Fotógrafo: Pedro Hiriart #Arquitectura #Arquitecto #CentroHistórico #CDMX</t>
  </si>
  <si>
    <t>https://pbs.twimg.com/media/Dt1pJY2WkAAwVJs.jpg</t>
  </si>
  <si>
    <t>Culiacán 123 — 1 Sur  Hipódrom</t>
  </si>
  <si>
    <t>#Arquitectura y #ciudad se confunden y entremezclan en la obra de #JavierSánchez, de manera que sus ejecuciones son causa y eco de su renombre internacional.🏙️</t>
  </si>
  <si>
    <t>http://www.promotorajsa.com.mx/</t>
  </si>
  <si>
    <t>Rafael B. Justo Sant</t>
  </si>
  <si>
    <t>Pedro Sánchez ha ofrecido a Torra y a Junqueras el acuerdo de que si apoyan los presupuestos, retirarán de toda Cataluña a la Guardia Civil y a la Policía Nacional. Ante esta barbaridad y traición, pásalo para que toda España sepa hasta que punto es capaz de ceder este miserable</t>
  </si>
  <si>
    <t>2018/2 Pedro Sánchez okupa. RT @sergio_mayor: PP y Ciudadanos: 2015: tiene que gobernar la lista más votada. 2016: tiene que gobernar la lista más votada. 2017: tiene que gobernar la lista más votada. 2018: pactemos con los nazis para que no gobierne la lista más votada!</t>
  </si>
  <si>
    <t>https://twitter.com/sergio_mayor/status/1070984649973874688</t>
  </si>
  <si>
    <t>Talavera de la Reina</t>
  </si>
  <si>
    <t>Treinta y algunos. Contiene trazas de política, historia y de mi vida que no le interesan a nadie.</t>
  </si>
  <si>
    <t>Pedro Sánchez desconoce la Constitución: pide reformarla para incluir la igualdad entre hombres y mujeres  vía @libertaddigital- La Constitución no entraba en su "tesis doctoral"........!!</t>
  </si>
  <si>
    <t>https://www.libertaddigital.com/espana/</t>
  </si>
  <si>
    <t>El pensamiento liberal se fundamenta en el reconocimiento y garantía de los derechos individuales.</t>
  </si>
  <si>
    <t>Nacho Flores</t>
  </si>
  <si>
    <t>No se porqué, pero me recuerda a Pedro Sánchez...</t>
  </si>
  <si>
    <t>https://pbs.twimg.com/media/Dt1ndtZWoAI1Z7M.jpg</t>
  </si>
  <si>
    <t>https://pbs.twimg.com/media/Dt1nJFsW0AAo482.jpg</t>
  </si>
  <si>
    <t>mariap&amp;gomez</t>
  </si>
  <si>
    <t>Según Celaá (y su razonamiento) Pedro Sánchez no está legitimado para gobernar, no? RT @rosadiezglez: Dice Celaá, ejerciendo desde Moncloa como portavoz del PSOE, que en Andalucia la única que está ‘legitimada’ para gobernar es Susana Díaz porque es ‘la lista más votada’. Es la primera vez que un miembro del Gobierno cuestiona la legitimidad de Sánchez para ser Presidente.</t>
  </si>
  <si>
    <t>Need you to help me get the signatures needed to recognize my real degree of disability http://Change.org por un reconocimiento de grado de disca justo y real Thanks</t>
  </si>
  <si>
    <t>Sánchez quiere reformar la Constitución para blindar la igualdad entre hombres y mujeres  vía @20m</t>
  </si>
  <si>
    <t>https://www.20minutos.es/noticia/3510577/0/pedro-sanchez-reforma-constitucion/?utm_source=twitter.com&amp;utm_medium=socialshare&amp;utm_campaign=desktop</t>
  </si>
  <si>
    <t>Bart R</t>
  </si>
  <si>
    <t>Cambio16</t>
  </si>
  <si>
    <t>Huelva, Spain</t>
  </si>
  <si>
    <t>El inglés ya forma parte de tu vida. Termina de aprenderlo!</t>
  </si>
  <si>
    <t>Fanjul Segundo</t>
  </si>
  <si>
    <t>Pedro Sánchez desconoce la Constitución: pide reformarla para incluir la igualdad entre hombres y mujeres. El presidente del Gobierno obvia el artículo 14 de la Carta Magna. Su comentario ha provocado un auténtico revuelo en Twitter. Elecciones ¡YA!!</t>
  </si>
  <si>
    <t>Cuenta oficial | Revista y Web Cambio16 | Noticias de actualidad y análisis sobre España y el mundo contadas con contundencia.</t>
  </si>
  <si>
    <t>http://www.cambio16.com</t>
  </si>
  <si>
    <t>https://pbs.twimg.com/media/Dt1mj4hWoAAt4Ol.jpg</t>
  </si>
  <si>
    <t>Asturiano, Pintor artistico de cuadros al oleo</t>
  </si>
  <si>
    <t>Jose Luis Gonzalez</t>
  </si>
  <si>
    <t>Amante de la vida no conveccional, Liberal, cuanto menos estado mejor. Esquiador, y amante de la naturaleza. Inversor en bolsa haciendo daytrading. Biker MTB</t>
  </si>
  <si>
    <t>nomemandescallar5</t>
  </si>
  <si>
    <t>En búsqueda de los misales perdidos de Catalina. La ultima vez fueron vistos en Andorra. se sospecha que han viajado a 🇨🇭 suiza</t>
  </si>
  <si>
    <t>María Jesús</t>
  </si>
  <si>
    <t>Ridículo apoteósico: Pedro Sánchez pide reformar la Constitución para incluir un artículo․.. que ya existe  vía @MediterraneoDGT. ➡️Uffff cómo tienes las Neuronas ,Madre de Dios,no paras de meter la pata,Alma de Cántaro 😂😂😂😂😂😂</t>
  </si>
  <si>
    <t>Esposa y madre, amante de España. No consiento insultos...bloqueo.</t>
  </si>
  <si>
    <t>Eduardo Vírgala Foruria</t>
  </si>
  <si>
    <t>Pedro Sánchez no se refería al 14, sino al 1.1, al 9.2, al 57.1, los Sanchezliebers están inspirados</t>
  </si>
  <si>
    <t>Donosti (Euskadi; España)</t>
  </si>
  <si>
    <t>Catedrático de Derecho Constitucional-Último libro publicado: “La Constitución británica en el siglo XXI”, @marcialpons, Madrid, 2018</t>
  </si>
  <si>
    <t>http://eduardovirgala.weebly.com</t>
  </si>
  <si>
    <t>guirong fu</t>
  </si>
  <si>
    <t>¡Pobre rosa socialista: cómo se ha diluido su color! ¡Y pobre puño; expresión, antaño, d fuerza y d firmeza! Desde q Pedro Sánchez la Secretaría Gral. del PSOE alcanzó, mustios los pétalos se le caen, como a una agónica flor, y del puño no queda sino una lánguida mano abierta... RT @niblick62: Es la primera vez en 40 años que en la Junta se trabaja de verdad</t>
  </si>
  <si>
    <t>https://twitter.com/niblick62/status/1070920647151362048</t>
  </si>
  <si>
    <t>https://pbs.twimg.com/media/Dtyso_SWkAEgzpB.jpg</t>
  </si>
  <si>
    <t>Hagamos camino, pues.</t>
  </si>
  <si>
    <t>foios,valencia,españa</t>
  </si>
  <si>
    <t>Defensor de los derechos humanos.Contrario a austeridad,FMI,BM.Por un mundo verde que garantize la vida para las siguientes generaciones,hijos nietos etc.</t>
  </si>
  <si>
    <t>https://twitter.com/DaniPintoB/status/1070999035635486722</t>
  </si>
  <si>
    <t>pic.twitter.com/VixnFCL9g7</t>
  </si>
  <si>
    <t>Raúl Peña</t>
  </si>
  <si>
    <t>¿Por qué la Fiscalía no actúa de oficio y pide prisión provisional como para el individuo que quería asesinar a Pedro Sánchez?</t>
  </si>
  <si>
    <t>https://pbs.twimg.com/media/Dt1lPaiW0AAv6W4.jpg</t>
  </si>
  <si>
    <t>Trabajador, honrado, leal, fiel, humilde, solidario, sencillo y buena persona. No soporto la hipocresía, el egoísmo, la avaricia, la envidia ni la maldad.</t>
  </si>
  <si>
    <t>JORGE SANTOS MIRÓ</t>
  </si>
  <si>
    <t>Pedro Sánchez asistirá a la Final de la Libertadores en el Bernabéu  vía @20m</t>
  </si>
  <si>
    <t>https://www.20minutos.es/noticia/3511142/0/pedro-sanchez-asistira-final-libertadores-bernabeu/?utm_source=twitter.com&amp;utm_medium=socialshare&amp;utm_campaign=desktop</t>
  </si>
  <si>
    <t>Alcobendas, España</t>
  </si>
  <si>
    <t>Aficiones he redactado 73 Excursiones Alrededores Madrid, 33 Destinos Turísticos Iberia, me he leído Enciclopaedia Britannica, aficionado a la Lexicografía y a</t>
  </si>
  <si>
    <t xml:space="preserve">blas garcia </t>
  </si>
  <si>
    <t>Honrado de haber nacido en España Cuando los hombres aman a las mujeres Les dan sólo un poco de su vida Mas las mujeres cuando aman lo dan todo". Oscar Wilde</t>
  </si>
  <si>
    <t>http://bierzogpb.blogspot.com.es/</t>
  </si>
  <si>
    <t>Jose Angel</t>
  </si>
  <si>
    <t>artistamiyares: PEDRO SÁNCHEZ QUIERE GANAR TIEMPO. PEDRO SÁNCHEZ SABE QUE LAS ENCUESTAS NO SON TAN FAVORABLES COMO LAS COCINADAS.</t>
  </si>
  <si>
    <t>https://blogmiyares.blogspot.com/2018/12/pedro-sanchez-quiere-ganar-tiempo.html?spref=tw</t>
  </si>
  <si>
    <t>Amante de la honradez y de la equidad.Siempre en defensa del débil y la verdad.</t>
  </si>
  <si>
    <t>http://blogmiyares.blogspot.com/</t>
  </si>
  <si>
    <t>Marino Viking</t>
  </si>
  <si>
    <t>#AhiLoDejo Presidente Pedro Sánchez. Gobierno de España. : Prohibición de la venta y tráfico de animales. - ¡Firma la petición!  vía @change_es</t>
  </si>
  <si>
    <t>Terrassa</t>
  </si>
  <si>
    <t>http://chng.it/zg6XTqYk</t>
  </si>
  <si>
    <t>Republica Independiente Micasa</t>
  </si>
  <si>
    <t>Fuerza y Honor.Alzaros una y otra vez,hasta que los corderos se vuelvan leones.Necesito respirar y decirle al aire que soy libre como el viento.The Thansporter</t>
  </si>
  <si>
    <t>Serafin Uriarte</t>
  </si>
  <si>
    <t>Pamplona</t>
  </si>
  <si>
    <t>Si la ministra portavoz del Gobierno justifica que en Andalucía tiene que gobernar Susana Díaz por pertenecer a la lista más votada ¿a qué espera Pedro Sánchez para convocar elecciones?</t>
  </si>
  <si>
    <t>Carlos Bienes 🇪🇸</t>
  </si>
  <si>
    <t>peres toxo.</t>
  </si>
  <si>
    <t>Reino de Valencia. España</t>
  </si>
  <si>
    <t>Hay algo peor que un catalán independentista ? Sí, un valenciano catalanista.</t>
  </si>
  <si>
    <t>Vanessa Perez</t>
  </si>
  <si>
    <t>Los enemigos de España deberían ser desterrados.</t>
  </si>
  <si>
    <t>Miguel Ángel López González 🇪🇸 🇪🇺 🇺🇳</t>
  </si>
  <si>
    <t>Todo Madrid está atemorizado ante una posible batalla campal de unos salvajes con la policía y resulta que la decisión no depende de los ciudadanos que pagamos el despliegue policial con nuestros impuestos, sino del señor Florentino Pérez y del señor Pedro Sánchez. Así nos va....</t>
  </si>
  <si>
    <t>Periodista. En el blog político jet-lag decimos lo que otros callan https://www.jet-lag.info/ https://www.instagram.com/lopezgonzalez8410/ #Changemaker: influyendo en los que influyen</t>
  </si>
  <si>
    <t>http://www.jet-lag.info/</t>
  </si>
  <si>
    <t>Galicia Diario</t>
  </si>
  <si>
    <t>#Gobierno | Pedro Sánchez ve necesario el testimonio de las víctimas del terrorismo para que "nadie, nunca, cambie la...</t>
  </si>
  <si>
    <t>Twitter oficial de http://galiciadiario.com. También puedes seguirnos por https://www.facebook.com/galiciadiario/</t>
  </si>
  <si>
    <t>http://galiciadiario.com</t>
  </si>
  <si>
    <t>Jose Manuel Porras Vega</t>
  </si>
  <si>
    <t>Como decía Felipe González en 1982. Pedro Sanchez también cree que somos tontos. RT @sanchezcastejon: Estamos decididos a terminar con la precariedad laboral que sufren las personas jóvenes en nuestro país. Apostar por un #empleojoven de calidad es apostar por la cohesión social. Para que valoren la democracia en la que viven, los jóvenes deben sentirse integrados en la sociedad.</t>
  </si>
  <si>
    <t>https://twitter.com/sanchezcastejon/status/1071070921090314240</t>
  </si>
  <si>
    <t>https://pbs.twimg.com/media/Dt01QYCXQAIjLcz.jpg</t>
  </si>
  <si>
    <t>Mis ganas de vivir feliz</t>
  </si>
  <si>
    <t>jose antonio</t>
  </si>
  <si>
    <t>Losantos manda al manicomio a Pedro Sánchez: "Este tío está loco, con es...  vía @YouTube</t>
  </si>
  <si>
    <t>https://youtu.be/PGGWDKMyQ_k</t>
  </si>
  <si>
    <t>http://derechosocultosespana.blogspot.com.es/2018/05/mientras-no-consigamos-entre-todos-ese.html</t>
  </si>
  <si>
    <t>Kim Junq-ueras</t>
  </si>
  <si>
    <t>Pedro Sánchez confirma que habrá elecciones en marzo en sus últimas declaraciones: "no habrá elecciones en marzo"</t>
  </si>
  <si>
    <t>North Katalonia</t>
  </si>
  <si>
    <t>Líder supremo de la República Democrática Popular Catalana cuando la declaremos. De momento calentando en la banda. Reeducando botiflers since 1969.</t>
  </si>
  <si>
    <t>http://es.favstar.fm/users/norcatalan</t>
  </si>
  <si>
    <t>Si los Comuns no escuchan a TODA Catalunya, acabaran como Adelante Andalucia .</t>
  </si>
  <si>
    <t>Republicano de izquierdas. En la duda, se encuentra la verdad. No hay buenos ni malos, solo personas con intereses diferentes. #NoMasMentiras</t>
  </si>
  <si>
    <t>Policarpo Alhucemas</t>
  </si>
  <si>
    <t>Ridículo apoteósico: Pedro Sánchez pide reformar la Constitución para incluir un artículo que ya existe  vía @MediterraneoDGT</t>
  </si>
  <si>
    <t>El tiempo no cambia, ubica.</t>
  </si>
  <si>
    <t>El cinismo de la extrema izquierda y comunismo resulta que la@ETA y ahora sus sicarios y los golpistas facistas ue pusieron a Pedro Sánchez de presidente y resulta ue lo único que preocupa es VOZ que no mata ni quiere destruir españa 🇪🇸 y dice@cosas sensatas que ya no cuela</t>
  </si>
  <si>
    <t>Jesús Ortega</t>
  </si>
  <si>
    <t>Lamentable lo que el Gobierno del Dr. Fraude, Pedro Sánchez, está permitiendo en Cataluña. El caos y la anarquía de los golpistas e independentistas a las órdenes del delincuente Torras. Lamentable. Elecciones ya!!</t>
  </si>
  <si>
    <t>http://www.abc.es/espana/abci-poder-judicial-denuncia-falta-proteccion-parte-generalitat-201812071850_noticia.html</t>
  </si>
  <si>
    <t>Y dijo al hombre: He aquí que el temor del Señor es la sabiduría, Y el apartarse del mal, la inteligencia. (Job 28:28).</t>
  </si>
  <si>
    <t>Josu★Mari</t>
  </si>
  <si>
    <t>#IroníaModoON Ya huele a #Independentzia... El #PNV ya está recogiendo frutos del prometido 'trato preferente' por su necesario apoyo a la investidura de Pedro Sánchez. Ya estoy planchando la ikurriña de raso para el balcón... #PNVStyle</t>
  </si>
  <si>
    <t>https://pbs.twimg.com/media/Dt1f9zeX4AANroY.jpg</t>
  </si>
  <si>
    <t>Iruña / Noain, Nabarra</t>
  </si>
  <si>
    <t>NAVARRE IS THE STATE OF THE BASQUE COUNTRY. «Si quieres ser internacional, cuenta las historias de tu aldea...». AGROKARLISMO ALA HIL!</t>
  </si>
  <si>
    <t>Fidel</t>
  </si>
  <si>
    <t>Este hombre tiene el cerebro en el culo. Casado acusa a Pedro Sánchez de ser cómplice de la “kale borroka independentista” por no aplicar el 155  vía @elpais_espana</t>
  </si>
  <si>
    <t>https://elpais.com/politica/2018/12/07/actualidad/1544192692_171557.html?id_externo_rsoc=TW_CC</t>
  </si>
  <si>
    <t>Esclavo de tus palabras, libre de tus pensamientos.</t>
  </si>
  <si>
    <t>EL PAÍS España</t>
  </si>
  <si>
    <t>http://ow.ly/AD0l30mU108</t>
  </si>
  <si>
    <t>Únete a la conversación sobre los grandes temas políticos y ciudadanos. Por la Redacción de España de EL PAÍS</t>
  </si>
  <si>
    <t>http://politica.elpais.com/</t>
  </si>
  <si>
    <t>José María Minguillón Buscató</t>
  </si>
  <si>
    <t>#eltrompazodesusanadiaz El trompazo de Susana Díaz en las elecciones andaluzas que otorgan el gobierno a la derecha, Pedro Sánchez quiere renovar el liderazgo del PSOE andaluz y dar salida a la persona que conjuró contra él hasta derrocarlo.</t>
  </si>
  <si>
    <t>https://pbs.twimg.com/media/Dt1ewytXcAY9Icf.jpg</t>
  </si>
  <si>
    <t>La Miastenia Gravis es mi compañera de viaje, pero aun tengo fuerzas para luchar por una sanidad pública digna para Granada.</t>
  </si>
  <si>
    <t>Santiago, Chile</t>
  </si>
  <si>
    <t>https://pbs.twimg.com/media/Dt1emWcXcAA0ssn.jpg</t>
  </si>
  <si>
    <t>M HURTADO ***</t>
  </si>
  <si>
    <t>¿Qué tiene Pedro Sánchez contra su suegro, el de las saunas gays? El PSOE propone multar a los clientes de la prostitución – Alerta Digital</t>
  </si>
  <si>
    <t>NO ME GUSTA EL MUNDO QUE ME HAN IMPUESTO , MENOS AÚN OBEDECER ALGUNAS NORMAS #VIVAESPAÑA ,#VIVALABICOLOR , #VIVAMIGENERAL SIEMPRE CON #LEGIONESPAÑOLA</t>
  </si>
  <si>
    <t>🔴🔴🔴 El mitin de Celaá contra VOX desde Moncloa: «En Andalucía debe gobernar la "legítima" ganadora, Susana Díaz». E insta al PP y Cs que no pacten con @vox_es Pero, que en La Moncloa debe seguir gobernando Pedro Sánchez porque fue el legítimo perdedor.</t>
  </si>
  <si>
    <t>https://www.libertaddigital.com/espana/2018-12-07/mitin-contra-vox-de-celaa-desde-moncloa-da-instrucciones-a-pp-y-cs-para-que-no-pacten-con-ellos-1276629533/</t>
  </si>
  <si>
    <t>Noticias Sabor809</t>
  </si>
  <si>
    <t>Pedro Sánchez asistirá a la final de la Copa Libertadores en el Bernabéu #CopaLibertadores #DeLa #ALa</t>
  </si>
  <si>
    <t>https://myuri.co/cjWA9</t>
  </si>
  <si>
    <t>https://pbs.twimg.com/media/Dt1dkzPU0AADFY0.jpg</t>
  </si>
  <si>
    <t>Dominican Republic</t>
  </si>
  <si>
    <t>Encuentre las ultimas noticias nacionales e internacionaesl de República Dominicana</t>
  </si>
  <si>
    <t>http://www.sabor809.com</t>
  </si>
  <si>
    <t>Miguel Ángel</t>
  </si>
  <si>
    <t>Pedro Sánchez hará balance el día 28 tras la última reunión del año del Consejo de Ministros</t>
  </si>
  <si>
    <t>https://bit.ly/2rs6wUy</t>
  </si>
  <si>
    <t>https://pbs.twimg.com/media/Dt1dMj-XcAE1P_G.jpg</t>
  </si>
  <si>
    <t xml:space="preserve">Sevilla </t>
  </si>
  <si>
    <t>Jose Luis del Rio</t>
  </si>
  <si>
    <t>Pedro Sánchez cambiar la Constitución para darle la independencia Catalunya y todo lo que pidan de hecho ya le ha dado el 50% RT @ana_urcelay: .😂😂😂😂😂😂 Ridículo apoteósico: Pedro Sánchez pide reformar la Constitución para incluir un artículo․.. que ya existe. @sanchezcastejon  vía @MediterraneoDGT</t>
  </si>
  <si>
    <t>subsurrealista</t>
  </si>
  <si>
    <t>Shakira se postula como futura candidata para ministra de Pedro Sánchez</t>
  </si>
  <si>
    <t>Las cámaras captan esta cara de Letizia hablando con Pedro Sanchez</t>
  </si>
  <si>
    <t>https://www.huffingtonpost.es/2018/11/28/las-camaras-captan-esta-cara-de-letizia-hablando-con-pedro-sanchez_a_23603805/</t>
  </si>
  <si>
    <t>https://pbs.twimg.com/media/Dt1cS7KW4AEtpnp.jpg</t>
  </si>
  <si>
    <t>JuanMa Alfonso</t>
  </si>
  <si>
    <t>Qué raro con lo discreto que él es y el trabajo que tiene. Pedro Sánchez asistirá a la Final de la Libertadores en el Bernabéu</t>
  </si>
  <si>
    <t>Humilde trabajador, padre de familia y Senderista de Alma</t>
  </si>
  <si>
    <t>Tito</t>
  </si>
  <si>
    <t>Pedro Sánchez ha empezado a leerse la Constitución. De momento ha llegado hasta el artículo 13.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</si>
  <si>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Estoy en contra de todo.</t>
  </si>
  <si>
    <t>http://textosconletras.tumblr.com/</t>
  </si>
  <si>
    <t>sabuur de amoor</t>
  </si>
  <si>
    <t>Cómo Pedro Sanchez no convoque pronto elecciones,se come otra crisis tipo ZP. Veo muy muy negro el futuro del PSOE. Es hora d q la izquierda lo deje solo o la arrastrará con él. RT @elperiodico_cat: El petroli es dispara després de l'acord de l'OPEP i Rússia per produir-ne menys</t>
  </si>
  <si>
    <t>https://twitter.com/elperiodico_cat/status/1071104421117997057
http://elperiodi.co/idnet1</t>
  </si>
  <si>
    <t>Catalonia</t>
  </si>
  <si>
    <t>Opinando x la vida. proyecto de doctorado. Soberanista y Federalista. 🎗🌈</t>
  </si>
  <si>
    <t>La Razón de México</t>
  </si>
  <si>
    <t>#Columna Democracia fiscal... en la #opinión de Pedro Sánchez Rodríguez (@hastaelPeter)</t>
  </si>
  <si>
    <t>https://goo.gl/bJ2Mx5</t>
  </si>
  <si>
    <t>Conoce las noticias más importantes, porque una persona informada siempre tiene La Razón</t>
  </si>
  <si>
    <t>http://www.razon.com.mx/</t>
  </si>
  <si>
    <t>ahoradigital</t>
  </si>
  <si>
    <t>https://ift.tt/2G6UZ78</t>
  </si>
  <si>
    <t>https://pbs.twimg.com/media/Dt1bH4VW0AIn42H.jpg</t>
  </si>
  <si>
    <t>Bolivia</t>
  </si>
  <si>
    <t>ahoradigital es un portal de noticias que monitorea, selecciona y produce información mas importante de Bolivia y el mundo</t>
  </si>
  <si>
    <t>http://ahoradigital.net</t>
  </si>
  <si>
    <t>https://pbs.twimg.com/media/Dt0df-EXgAEXzP_.jpg</t>
  </si>
  <si>
    <t>BOOMERANGG1</t>
  </si>
  <si>
    <t>Porque la SECTA no habla que Pedro Sánchez ha pactado con todos los extremistas que ni han ido al acto de la Constitución..y VOX que representa a más de 400.000 Personas tan legales o más y sin provocar como el resto... Así no es de extrañar que VOX aumente..es Extrema Necesidad</t>
  </si>
  <si>
    <t>Español sin complejos. Al tanto de la actualidad, tecnologia, Diseño 3D, Project Manager. Desearia que la honradez y la humildad sean el prólogo</t>
  </si>
  <si>
    <t>¿Descontentos? Así recibieron a Pedro Sánchez en el Congreso (Video)</t>
  </si>
  <si>
    <t>https://pbs.twimg.com/media/Dt1Zj6jUUAE_kw3.jpg</t>
  </si>
  <si>
    <t>Varo SDC</t>
  </si>
  <si>
    <t>Los que llaman a Pedro Sánchez "Pdr Snchz" ¿Por que no llaman a Pablo Casado "Pablo K-sado"?</t>
  </si>
  <si>
    <t>Santiago de Compostela</t>
  </si>
  <si>
    <t>Tuitero nivel medio.</t>
  </si>
  <si>
    <t>juan</t>
  </si>
  <si>
    <t>Hace tres años le hice esta foto al hoy Presidente del Gobierno de España, Pedro Sánchez.</t>
  </si>
  <si>
    <t>https://www.facebook.com/100001969794620/posts/1946112115464429/</t>
  </si>
  <si>
    <t>Alcala de Henares</t>
  </si>
  <si>
    <t>Veterano de vuelta en muchas batallas,pero con ganas de colaborar y algun dia poder ver un mundo mas justo y equitativo,siempre miro de frente</t>
  </si>
  <si>
    <t>Pedro Sánchez asistirá a la Final de la Libertadores en el Bernabéu</t>
  </si>
  <si>
    <t>https://www.20minutos.es/noticia/3511142/0/pedro-sanchez-asistira-final-libertadores-bernabeu/</t>
  </si>
  <si>
    <t>Rage</t>
  </si>
  <si>
    <t>La constitución contra los catalanes: bien. Pero cuando Pedro Sanchez usa una herramienta constitucional contra un gobierno corrupto: Mal RT @numer344: Dicen que nadie ha votado al Rey. Me gustaría saber quien ha votado a Pedro Sánchez.</t>
  </si>
  <si>
    <t>Guitarrista, Cantante y Compositor de I Must Break You. Grunge, Hardcore Metal y Stoner, y alguna cosita más. Kek M8 u wot. Arisexual</t>
  </si>
  <si>
    <t>EC Deportes</t>
  </si>
  <si>
    <t>http://bit.ly/2QD1RNE</t>
  </si>
  <si>
    <t>deportes@elconfidencial.com</t>
  </si>
  <si>
    <t>Sección de #deportes de @elconfidencial. Fútbol, #F1, baloncesto, tenis y otras muchas especialidades.</t>
  </si>
  <si>
    <t>http://www.elconfidencial.com/deportes/</t>
  </si>
  <si>
    <t>Jose Manlleu Noticias</t>
  </si>
  <si>
    <t>Fueras, pitos y abucheos a Pedro Sánchez a su llegada al Congreso acto del Día de la Constitucion:  vía</t>
  </si>
  <si>
    <t>http://youtu.be/y1bSyHJoOm8?a</t>
  </si>
  <si>
    <t>Manlleu, España</t>
  </si>
  <si>
    <t>Tu Canal de Noticias en Twitter y Youtube Actualidad, Política, Sociedad, Debates... Noticias Independientes y sin ningún tipo de influencias. 🌎🌏🌍👀✌</t>
  </si>
  <si>
    <t>https://www.youtube.com/JoseManlleu</t>
  </si>
  <si>
    <t>MANUEL GARCIA</t>
  </si>
  <si>
    <t>EuropaPress Congreso</t>
  </si>
  <si>
    <t>La próxima semana, Gabriel Rufián vuelve a preguntar al #Gobierno en el #Congreso, tres semanas después de ser expulsado. Quiere que Pedro Sánchez explique si piensa hacer algo ante la irrupción de @vox_es</t>
  </si>
  <si>
    <t>https://www.europapress.es/nacional/noticia-rufian-preguntara-pedro-sanchez-congreso-si-hara-algo-frente-ultraderecha-20181207150646.html</t>
  </si>
  <si>
    <t>Cuenta oficial de la agencia de noticias Europa Press en el Congreso</t>
  </si>
  <si>
    <t>ANTI RUINOSOS IZQUIERDISTAS</t>
  </si>
  <si>
    <t>Pero Sánchez gobierna con el voto de los terroristas</t>
  </si>
  <si>
    <t>EEUU</t>
  </si>
  <si>
    <t>Anti comunista anti populistas</t>
  </si>
  <si>
    <t>“DomBenitenses”</t>
  </si>
  <si>
    <t>#DicenEnPSOE | &lt;&amp;lt;Si Pedro Sánchez fuese el consejero delegado de cualquier empresa española "estaría hace tiempo de patitas en la calle"&gt;&amp;gt;</t>
  </si>
  <si>
    <t>Denunciando aquello que no nos gusta. Si te apetece... Bienvenido!</t>
  </si>
  <si>
    <t>PP Villaverde</t>
  </si>
  <si>
    <t>El 'palo' de Rosa Díez a Pedro Sánchez a cuenta de Vox - Herrera en COPE - COPE</t>
  </si>
  <si>
    <t>https://www.cope.es/programas/herrera-en-cope/noticias/herrera-20181207_306196</t>
  </si>
  <si>
    <t>Madrid, Distrito de Villaverde</t>
  </si>
  <si>
    <t>Partido Popular del Distrito de Villaverde, Madrid. El proyecto de Distrito lo construimos entre todos, escríbenos a gppvillaverde@madrid.es</t>
  </si>
  <si>
    <t>http://www.ppvillaverde.es</t>
  </si>
  <si>
    <t>Ros M.A</t>
  </si>
  <si>
    <t>¿Pedro Sánchez tiene los pies sobre la tierra o ya vuelve andar sobrevolando las nubes?</t>
  </si>
  <si>
    <t>Milita</t>
  </si>
  <si>
    <t>Yo preocupada porque no iba a poder ser Ministra y resulta que voy a ser Presidenta del Gobierno y únicamente con una simple búsqueda en Google!! Tiembla Pedro Sánchez!!! 😂😂😂 RT @cai_nyabel: Juguemos, cuál será tu logro en 2019?</t>
  </si>
  <si>
    <t>https://twitter.com/cai_nyabel/status/1070047800359088128</t>
  </si>
  <si>
    <t>https://pbs.twimg.com/media/DtmSzMDX4AAmi-V.jpg</t>
  </si>
  <si>
    <t>Psicóloga Forense y Profe Universitaria. Mami a tiempo completo. Optimista por naturaleza. Si no es ahora, ¿cuándo?. Vive y deja vivir. Cuenta personal.🦋🦋</t>
  </si>
  <si>
    <t>el azote de ls corru</t>
  </si>
  <si>
    <t>Política y Gobierno Nuevos talentos</t>
  </si>
  <si>
    <t>-_es_+</t>
  </si>
  <si>
    <t>ESPAÑOL. Y FACHA.</t>
  </si>
  <si>
    <t>Жорди Барселона🎗#CatalanCouncil</t>
  </si>
  <si>
    <t>La fiscalía descarta imputar por terrorismo al francotirador que quería matar a Pedro Sánchez</t>
  </si>
  <si>
    <t>https://www.elperiodico.com/es/politica/20181130/fiscalia-descarta-imputar-terrorismo-francotirador-pedro-sanchez-7176377</t>
  </si>
  <si>
    <t>República Catalana</t>
  </si>
  <si>
    <t>http://spanishpolice.github.io Ciutadà de la #RepúblicaCatalana</t>
  </si>
  <si>
    <t>JV</t>
  </si>
  <si>
    <t>Republicanos: pensad qe el Presidente podría ser Pedro Sánchez. RT @alejandroTGN: Soy Monárquico. Sin matices, sin disculpas ni cursilerías. Sin "peros" ni "aunques". Porque la democracia en España, como en Dinamarca, Gran Bretaña, Noruega o Suecia se escribe con "M" de Monarquía Parlamentaria.</t>
  </si>
  <si>
    <t>https://twitter.com/alejandroTGN/status/1070717225118638080</t>
  </si>
  <si>
    <t>Max Pradera</t>
  </si>
  <si>
    <t>demadridabilbao</t>
  </si>
  <si>
    <t>Ubi libertas, ibi patria</t>
  </si>
  <si>
    <t>Opinión https://goo.gl/DJQf42 Radio https://goo.gl/i8Nj6a Postureo https://goo.gl/V4VHgA Blog https://goo.gl/Umi346 Gelinek https://goo.gl/xbDTSj</t>
  </si>
  <si>
    <t>http://www.lecturalia.com/autor/2983/joseph-gelinek</t>
  </si>
  <si>
    <t>http://dlvr.it/Qt4wBL</t>
  </si>
  <si>
    <t xml:space="preserve">Bilbao (Bizkaia) - España </t>
  </si>
  <si>
    <t>Estoy descubriendo todo lo que supone comenzar a vivir en Bilbao y voy a contarlo. Eso, y algunas cosas más.</t>
  </si>
  <si>
    <t>http://www.demadridabilbao.wordpress.com</t>
  </si>
  <si>
    <t>Luichi</t>
  </si>
  <si>
    <t>Pablo Casado pide a Pedro Sánchez que ponga orden en Catalunya y aplique el 155 @lavanguardia  La ultraderecha no es solo Vox, Casado y Rivera están a su nivel</t>
  </si>
  <si>
    <t>Pilar Osorio</t>
  </si>
  <si>
    <t>El Dr. Sánchez q se deje de "deudas impagables", de museos de millón de €, de cargos para observadores del observatorio del asesor del patronato observante...y q su Memorial PUBLIQUE LAS ACTAS DE NEGOCIACIÓN CON ETA...esa parte de la historia, impagable?</t>
  </si>
  <si>
    <t>https://amp.europapress.es/nacional/noticia-pedro-sanchez-ve-necesario-testimonio-victimas-terrorismo-nadie-nunca-cambie-historia-20181207184644.html?__twitter_impression=true</t>
  </si>
  <si>
    <t>Zaragoza - Tarrasa. España</t>
  </si>
  <si>
    <t>Abogada. Provida. Orgullosa de estar con @vocesct y con VyJ | Jefa del Gabinete Jurídico de Covite hasta 11.12.17 (promotora de su estatus consultivo)</t>
  </si>
  <si>
    <t>Juan Carlos Jiménez</t>
  </si>
  <si>
    <t>Tema Davinson Sánchez: A @nacionaloficial había llegado una reclamación prejudicial del club Pedro Sellares de cali. Ahora lo que ha llegado es la demanda como tal del mismo caso. Derechos de formación.</t>
  </si>
  <si>
    <t>Periodista en El Gran Combo del Deporte 790am munera eastman radio Instagram: juancarlosjimenezh</t>
  </si>
  <si>
    <t>http://www.radiomunera.com</t>
  </si>
  <si>
    <t>NoPotemos</t>
  </si>
  <si>
    <t>Grandes verdades El 'palo' de Rosa Díez a Pedro Sánchez a cuenta de Vox</t>
  </si>
  <si>
    <t>Una mentira repetida mil veces se convierte en una realidad. (Joseph Goebbels) Ministro de propaganda de la Alemania nacionalsocialista.</t>
  </si>
  <si>
    <t>Consolación Sandúa</t>
  </si>
  <si>
    <t>Pedro Sánchez confía en quedarse con el centro político de cara al nuevo ciclo electoral -</t>
  </si>
  <si>
    <t>Curiosa por casi todo y ahora preocupada por como transcurre la política.</t>
  </si>
  <si>
    <t>LEALTAD</t>
  </si>
  <si>
    <t>Hilo interesante sobre la verdad que los actuales Comunistas quieren esconder a los Españoles. Esto era la República y en lo que quieren convertir España Pedro Sanchez,Pablo Iglesias y compañia</t>
  </si>
  <si>
    <t>pic.twitter.com/Oirm2tlno0</t>
  </si>
  <si>
    <t>Busca y defiende la verdad y la Justicia........El resto caerá por su peso.</t>
  </si>
  <si>
    <t>Esteban Gámez</t>
  </si>
  <si>
    <t>https://pbs.twimg.com/media/Dt1S3QEXcAEMjgk.jpg</t>
  </si>
  <si>
    <t>Gijón</t>
  </si>
  <si>
    <t>Profesional del medio, apasionado de las nuevas tecnologías y de la tierra Asturiana</t>
  </si>
  <si>
    <t>José Manuel</t>
  </si>
  <si>
    <t>Que nos hablen de las saunas gays del suegro de Pedro Sánchez. RT @manuel_llamas: El PSOE baraja prohibir los prostíbulos y sancionar a los clientes  Feministas y socialistas, los nuevos puritanos del siglo XXI</t>
  </si>
  <si>
    <t>https://twitter.com/manuel_llamas/status/1070980216842043392
https://www.libremercado.com/2018-12-07/el-psoe-baraja-prohibir-los-prostibulos-y-sancionar-a-los-clientes-1276629517/</t>
  </si>
  <si>
    <t>Madrid, Spain.</t>
  </si>
  <si>
    <t>We'll never forget</t>
  </si>
  <si>
    <t>https://www.instagram.com/manelok/</t>
  </si>
  <si>
    <t>🎄Jaime Ballesteros🎄</t>
  </si>
  <si>
    <t>¿En qué se diferencia Shakira de los ministros de Pedro Sánchez, por curiosidad? RT @FormulaTV: Shakira defraudó 14,5 millones de euros a Hacienda y tendrá que hacer frente a una causa penal</t>
  </si>
  <si>
    <t>https://twitter.com/FormulaTV/status/1071078624139329536
https://frml.tv/86788</t>
  </si>
  <si>
    <t>https://pbs.twimg.com/media/Dt08VPjXQAAldBB.jpg</t>
  </si>
  <si>
    <t>Móstoles, Madrid, España</t>
  </si>
  <si>
    <t>Personalidad demasiado introvertida, pero si logro abrirme, es distinto. Social Media, Gamer, Pokemaníaco (a mucha honra), #LET.</t>
  </si>
  <si>
    <t>http://www.youtube.com/channel/UCGA1_eec552ZWn41Fzl5x5A/videos</t>
  </si>
  <si>
    <t>http://dlvr.it/Qt4rq5</t>
  </si>
  <si>
    <t>https://pbs.twimg.com/media/Dt1RpK0VYAA43F6.jpg</t>
  </si>
  <si>
    <t>Lucy</t>
  </si>
  <si>
    <t>Pedro Sánchez confía en quedarse con el centro político de cara al nuevo ciclo electoral -y di confianza y ambigüedad q es la del @PSOE llenará este país se ultraderecha. Sólo les importa su poder. Trepas y engañabobos arruinando a la izquierda.</t>
  </si>
  <si>
    <t>Enamorada de la vida aunque a veces duela. Lucy in the sky with diamonds🎶✨Lucy Skywalker ✨En pie con el puño en alto ✊ 💪😎#másinvestigaciónparamásvida</t>
  </si>
  <si>
    <t>https://ift.tt/2EjPqRe</t>
  </si>
  <si>
    <t>naxoxan</t>
  </si>
  <si>
    <t>Pedro Sánchez aleja el calendario electoral y pedirá una reunión con Torra el 21-D  #republicacatalana</t>
  </si>
  <si>
    <t>https://www.lavanguardia.com/politica/20181206/453397537702/pedro-sanchez-elecciones-reunion-quim-torra-21-de-diciembre.html</t>
  </si>
  <si>
    <t>Badalona-Sant Celoni</t>
  </si>
  <si>
    <t>#1oct #UFP #NiOblitNiPerdó #RepúblicaEsLlibertat</t>
  </si>
  <si>
    <t>Daniel Rodríguez</t>
  </si>
  <si>
    <t>.@ChicoDeDerechas hablando en plata sobre las elecciones andaluzas y si vínculo con los desmanes de Pedro Sánchez. Lectura perfecta para un viernes noche como hoy!👇</t>
  </si>
  <si>
    <t>http://www.expansion.com/actualidadeconomica/analisis/2018/12/07/5c0a67b546163fae278b4590.html</t>
  </si>
  <si>
    <t>Economista | Consultor estratégico | Coordinador de @CdV_Madrid | columnista en @laeconomica y en @libertaddigital | Análisis económico con @dlacalle</t>
  </si>
  <si>
    <t>http://www.economistadecabecera.es</t>
  </si>
  <si>
    <t>Noticiero Universal</t>
  </si>
  <si>
    <t>Pedro Sánchez ve necesario el testimonio de las víctimas del terrorismo para que "nadie, nunca, cambie la historia" -</t>
  </si>
  <si>
    <t>https://noticierouniversal.com/actualidad/pedro-sanchez-ve-necesario-el-testimonio-de-las-victimas-del-terrorismo-para-que-nadie-nunca-cambie-la-historia/</t>
  </si>
  <si>
    <t>Noticias en tiempo real</t>
  </si>
  <si>
    <t>http://www.noticierouniversal.com</t>
  </si>
  <si>
    <t>EL OBRERO</t>
  </si>
  <si>
    <t>Pedro Sánchez abre mañana en Lisboa la precampaña de las elecciones europeas</t>
  </si>
  <si>
    <t>https://elobrero.es/nacional/item/22295-sanchez-abre-manyana-en-lisboa-la-precampanya-de-las-elecciones-europeas.html</t>
  </si>
  <si>
    <t>Diario digital de actualidad editado y dirigido por Obrer@s. Política, economía, cultura, ciencia, análisis y opinión.</t>
  </si>
  <si>
    <t>https://elobrero.es/</t>
  </si>
  <si>
    <t>ATTACNavarra</t>
  </si>
  <si>
    <t>El batacazo en Andalucía fuerza un cambio de estrategia en el Gobierno: toca distanciarse de los independentistas Pedro Sánchez niega que su estrategia en Catalunya sea la...</t>
  </si>
  <si>
    <t>https://www.eldiario.es/politica/Gobierno-distancias-independentistas-PSOE-Andalucia_0_843066462.html</t>
  </si>
  <si>
    <t>¡No a la dictadura de los mercados! Queremos un mundo centrado en las personas y el cuidado de la Naturaleza</t>
  </si>
  <si>
    <t>http://www.attac-na.org/</t>
  </si>
  <si>
    <t>Luis Maria De Haro R</t>
  </si>
  <si>
    <t>En las andaluzas Vox ha conseguido 12 diputados y un senador( al menos).En las generales,si fueran ahora,conseguirían 1.200.000 votos,según las encuestas secretas del PSOE.Por eso Pedro Sánchez, el tonto útil de los secesionistas y los etarras blanqueados, no convoca elecciones. RT @eduardoinda: .@VOX_es lograría el 6% de votos y 9 diputados en las generales si se repitiera el resultado de las andaluzas</t>
  </si>
  <si>
    <t>https://twitter.com/eduardoinda/status/1070974320669802496
https://okdiario.com/general/2018/12/07/vox-lograria-6-voto-9-diputados-unas-generales-si-repitiera-resultado-andaluzas-3422997?utm_campaign=inda&amp;utm_medium=Social&amp;utm_source=Twitter#Echobox=1544167432</t>
  </si>
  <si>
    <t>MADRID</t>
  </si>
  <si>
    <t>Javier Echeverría</t>
  </si>
  <si>
    <t>Convencido d q el cambio amplio y urgente q necesitamos se debe basar en solidaridad y cooperación entre diferentes. Clave: gestionar diferencias y moderar egos</t>
  </si>
  <si>
    <t>Cetm</t>
  </si>
  <si>
    <t>La #CETM solicita al presidente del Gobierno @sanchezcastejon un paquete de medidas económicas extraordinarias para el #transporte.</t>
  </si>
  <si>
    <t>http://w2.cetm.es/Ficheros/InformacionCETM/CETM%20INFORMA%20N%C2%BA%20063%20%20-%20%20LA%20CETM%20SOLICITA%20A%20PEDRO%20SANCHEZ%20UN%20PAQUETE%20DE%20MEDIDAS%20ECONOMICAS%20EXTRAORDINARIAS.pdf</t>
  </si>
  <si>
    <t>Perfil oficial de la Confederación Española de Transporte de Mercancías (CETM)</t>
  </si>
  <si>
    <t>http://www.cetm.es</t>
  </si>
  <si>
    <t>Diego Cabanillas</t>
  </si>
  <si>
    <t>Pedro Sánchez acudirá en Falcon al partido entre River y Boca.</t>
  </si>
  <si>
    <t>Mordor</t>
  </si>
  <si>
    <t>Licenciado en Periodismo, aunque polemista entre horas.</t>
  </si>
  <si>
    <t>EP Nacional</t>
  </si>
  <si>
    <t>Twitter oficial del servicio de noticias Nacional de la agencia de noticias Europa Press</t>
  </si>
  <si>
    <t>http://www.europapress.es/nacional/</t>
  </si>
  <si>
    <t>https://okdiario.com/espana/2018/12/07/han-pasado-85-dias-demanda-pedro-sanchez-sigue-sin-llegar-3437752#.XAqx9JS58cs.twitter</t>
  </si>
  <si>
    <t>https://pbs.twimg.com/media/Dt0n6ubW0AA579s.jpg</t>
  </si>
  <si>
    <t>Alberto Remírez 🇪🇺</t>
  </si>
  <si>
    <t>Pedro Sánchez hablando sin parar de la importancia de dar un papel más relevante a la mujer. En Alemania, mientras, a Angela Merkel la va a suceder otra mujer. Diferencia entre cháchara y acción.</t>
  </si>
  <si>
    <t>No ronco, es la sociedad.</t>
  </si>
  <si>
    <t>Joan laco</t>
  </si>
  <si>
    <t>A lo mejor Pedro Sánchez tiene que venir a BCN el próximo día 21 de Diciembre con 5000 policías Nacionales. Y Sufrir lo que sufren sus compatriotas Españoles por parte de Bestias salvajes Superiores y socios suyos.</t>
  </si>
  <si>
    <t>Lola Pastur</t>
  </si>
  <si>
    <t>Las cifras del pánico: así conduce Pedro Sánchez al precipicio a todo el PSOE - ESdiario.</t>
  </si>
  <si>
    <t>No entiendo el mundo, pero tengo la suerte de entenderme a mi misma.</t>
  </si>
  <si>
    <t>Madrid Actual</t>
  </si>
  <si>
    <t>­­📰 Pedro Sánchez asistirá a la final de la Copa Libertadores en el Bernabéu #GenteEnMadrid</t>
  </si>
  <si>
    <t>https://mact.es/2roPDtI</t>
  </si>
  <si>
    <t>https://pbs.twimg.com/media/Dt1NvwJW4AEzu3K.jpg</t>
  </si>
  <si>
    <t>El periódico de Madrid y sus municipios. Noticias de Madrid, Comunidad de Madrid, Actualidad, Política, @QueHacerMadrid, @deportesMAD, @MadridBlogs, @muni_mad</t>
  </si>
  <si>
    <t>http://www.madridactual.es</t>
  </si>
  <si>
    <t>https://twitter.com/CriticoJM/status/1070745736944472064</t>
  </si>
  <si>
    <t>José de #Tabarnia</t>
  </si>
  <si>
    <t>Esta frase me recuerda a la política de Pedro Sánchez con respecto a sus amiguetes . RT @MendiMendi1: El que tolera el desorden para evitar la guerra, tiene primero el desorden y después la guerra Maquiavelo 1513</t>
  </si>
  <si>
    <t>https://pbs.twimg.com/media/DtwNjKZXQAASRzb.jpg</t>
  </si>
  <si>
    <t>https://twitter.com/MendiMendi1/status/906482698193129472</t>
  </si>
  <si>
    <t>Español y andaluz, defiendo mi cultura y mis tradiciones. Si me sigues te sigo, natural de #Tabarnia</t>
  </si>
  <si>
    <t>Antonio Elviro Arroy</t>
  </si>
  <si>
    <t>Decir que el Presidente del Gobierno es “kale borroca independentista” es un exabrupto que solo lo dice un descerebrado como Casado.Casado acusa a Pedro Sánchez de ser cómplice de la “kale borroka independentista” por no aplicar el 155  vía @elpais_espana</t>
  </si>
  <si>
    <t>alcorcon</t>
  </si>
  <si>
    <t>Extremeño d Brozas. Y Socialista xq como dijo otro A. Elviro hace + de 90 años: A veces hay q ser socialista más que por ideologia, por humanidad.</t>
  </si>
  <si>
    <t>Conviene saber que Pedro J Ramírez a día de hoy es un lacayo de Pedro Sánchez, un jodido proabortista y pro ideología de género. Un degenerado ideológico. Leer El Español es un ejercicio de no ser para nada español sino un vil traidor.</t>
  </si>
  <si>
    <t>Luis Rendueles</t>
  </si>
  <si>
    <t>Pedro Sánchez quiere incluir la igualdad de hombres y mujeres en la Constitución. Pero ya aparece  vía @magnet_es</t>
  </si>
  <si>
    <t>https://magnet.xataka.com/p/21010?utm_source=twitter&amp;utm_medium=social&amp;utm_campaign=botoneraweb</t>
  </si>
  <si>
    <t>Maracaibo, Zulia, Venezuela</t>
  </si>
  <si>
    <t>Politólogo en formación. @FEVECIPOL / @AulaAbiertaVE</t>
  </si>
  <si>
    <t>http://primeropolitica.com.ve</t>
  </si>
  <si>
    <t>https://www.huffingtonpost.es/2018/12/04/pedro-sanchez-entrevista-telecinco-pedro-piqueras-tras-elecciones-andaluzas_a_23608490/?ncid=other_twitter_cooo9wqtham&amp;utm_campaign=share_twitter</t>
  </si>
  <si>
    <t>Gabriela Aparisi</t>
  </si>
  <si>
    <t>Tienes mucha razón son unos cobardes y tienen que ir varios juntos sino no se atreven, formas mafiosa para tener lo que quiere. Y que estos sean a quien apoya a Pedro Sanchez. Que bajo has caído solo por poder querías estar en Moncloa como fuera y como lo has conseguido . RT @TR88trader: @Santi_ABASCAL @elespanolcom @pedroj_ramirez Empujado,golpeado, escupido,insultado,amenazado,ninguneado por los medios y con 2 cojones de subirse a un banco en Sevilla con un amplificador a seguir defendiendo sus principios y los de muchos sin miedo a nadie.Este es Santi Abascal,este es el presidente de España.</t>
  </si>
  <si>
    <t>https://twitter.com/tr88trader/status/1070806296075624448</t>
  </si>
  <si>
    <t>pic.twitter.com/y9xH5stEOA</t>
  </si>
  <si>
    <t>http://bechyapfgmail.com</t>
  </si>
  <si>
    <t>alquimia café</t>
  </si>
  <si>
    <t>Falta hacia con la que se avecina...😔</t>
  </si>
  <si>
    <t>https://www.eldiario.es/politica/Pedro-Sanchez-reforma-Constitucion-igualdad_0_843416144.html</t>
  </si>
  <si>
    <t>las norias de daza</t>
  </si>
  <si>
    <t>cafetería_desayunos_panadería_zona wifi_tapas_libros_exposiciones_musica_ https://alquimiacafe.es</t>
  </si>
  <si>
    <t>https://alquimiacafe.es</t>
  </si>
  <si>
    <t>Pedro Sánchez no acepta la derrota en Andalucía y abraza el frente contra VOX ofrecido por Iglesias | Elecciones Andalucía 2018</t>
  </si>
  <si>
    <t>https://okdiario.com/espana/2018/12/03/sanchez-no-acepta-derrota-andalucia-abraza-frente-contra-vox-ofrecido-iglesias-3420979#.XAqvCoOs6bM.twitter</t>
  </si>
  <si>
    <t>Intentado mejorar todo mi alrededor que no es poco.</t>
  </si>
  <si>
    <t>http://www.youtube.com/user/avvnuevaeuropa?feature=results_main</t>
  </si>
  <si>
    <t>Xavier Garcia</t>
  </si>
  <si>
    <t>Es que el tal Pedro Sanchez no tiene ni mapa ni brujula RT @josebaazkarraga: Dice Pedro Sánchez que los independentistas catalanes “tendrán que explicar su No a los presupuestos “. Y el tendrá que explicar porque, pudiendo haberlo hecho, permite q la Fiscalía Gral., insista en mantener la acusación contra los presos políticos catalanes</t>
  </si>
  <si>
    <t>https://twitter.com/josebaazkarraga/status/1070633935267348480</t>
  </si>
  <si>
    <t>VOX Villalbilla</t>
  </si>
  <si>
    <t>Memoria histórica.... 2018 - Pedro Sánchez es Presidente con el apoyo, entre otros, de los herederos políticos de ETA. 1981 - ETA extorsiona a ABASCAL PARDO amenazándole de muerte. Y luego la izquierda, los golpistas, los filo etarras y los separatistas atacan a VOX.</t>
  </si>
  <si>
    <t>https://pbs.twimg.com/media/Dt1LgBxX4AEbIJ3.jpg</t>
  </si>
  <si>
    <t>Villalbilla, España</t>
  </si>
  <si>
    <t>🇪🇸 Cuenta Oficial de VOX Villalbilla, el partido que gestiona con valores y principios. villalbilla@madrid.voxespana.es</t>
  </si>
  <si>
    <t>https://www.facebook.com/madrid.vox/</t>
  </si>
  <si>
    <t>Linares Deportivo</t>
  </si>
  <si>
    <t>PÉSAME | Queremos mostrar nuestras condolencias y nuestro dolor por Luis Pedro Sánchez, Presidente de ACIL (@AcilCca). Todo nuestro ánimo y apoyo a familiares y amigos en estos duros momentos. DEP.</t>
  </si>
  <si>
    <t>https://pbs.twimg.com/media/Dt1LY6rWsAAY3vE.jpg</t>
  </si>
  <si>
    <t>Estadio de Linarejos (Linares)</t>
  </si>
  <si>
    <t>Twitter oficial del Linares Deportivo • Equipo de Tercera División - Grupo IX • Sentimiento, Orgullo y Pasión desde 1909. #VolveremosJuntos👨‍👩‍👦💙</t>
  </si>
  <si>
    <t>http://www.linaresdeportivo.es</t>
  </si>
  <si>
    <t>Ricardo Acciardi</t>
  </si>
  <si>
    <t xml:space="preserve">Argentina </t>
  </si>
  <si>
    <t>Periodista Que Nadie Se Persiga Salvemos El Mundo.</t>
  </si>
  <si>
    <t>Hendelbert K</t>
  </si>
  <si>
    <t>Pedro Sánchez asistirá a la final de la Copa Libertadores en el Bernabéu  #SiguemeYTeSigo</t>
  </si>
  <si>
    <t>https://ift.tt/2Qi4O6U</t>
  </si>
  <si>
    <t>Caracas</t>
  </si>
  <si>
    <t>Campeon del pueblo. Champion the people... Mami con la combi completa...</t>
  </si>
  <si>
    <t>http://deporteshendelbert.blogspot.com</t>
  </si>
  <si>
    <t>TANGO-MUNDO-Legazkue</t>
  </si>
  <si>
    <t>españa psoe El 'palo' de Rosa Díez a Pedro Sánchez a cuenta de Vox</t>
  </si>
  <si>
    <t>Punta del Este</t>
  </si>
  <si>
    <t>ARTE,CULTURA,TANGO-SOCIEDAD-ECOLOGIA.CINE-LIBROS-DEPORTES-CIENCIA-TECNO-FILOSOFIA viajar, arte, historia, excursión, sociedad, política, humanismo, valores,</t>
  </si>
  <si>
    <t>https://musicanddancelegazcue.blogspot.com/</t>
  </si>
  <si>
    <t>Los vocales de la CNMV más cercanos al Gobierno de Pedro @SanchezCastejon pidieron sancionar a Borrell por el caso Abengoa</t>
  </si>
  <si>
    <t>https://okdiario.com/espana/2018/12/07/vocales-cnmv-mas-cercanos-gobierno-sanchez-pidieron-sancionar-borrell-caso-abengoa-3412904?utm_campaign=inda&amp;utm_medium=Social&amp;utm_source=Twitter#Echobox=1544181414</t>
  </si>
  <si>
    <t>David F.</t>
  </si>
  <si>
    <t>Menuda foto viene a hacerse Pedro Sánchez a Catalunya el 21D.</t>
  </si>
  <si>
    <t>Marcos Campillo</t>
  </si>
  <si>
    <t>Me extraña que no le guste la Constitución a Pedro Sánchez, es más rígida que Begoña. RT @elmundoes: El Gobierno aprueba la eliminación del término "disminuido" de la Constitución por "injusto"</t>
  </si>
  <si>
    <t>https://twitter.com/elmundoes/status/1071043194396262405
https://trib.al/EYTGEwf</t>
  </si>
  <si>
    <t>Vos vestros servate meos mihi linquite mores.</t>
  </si>
  <si>
    <t>http://www.salvaunfeo.ong</t>
  </si>
  <si>
    <t>Cupcake's News</t>
  </si>
  <si>
    <t>https://pbs.twimg.com/media/Dt1KUMEW0AET9Lk.jpg</t>
  </si>
  <si>
    <t>Surtimos tu línea de tiempo con información que vale la pena leer, contenido útil e interesante.</t>
  </si>
  <si>
    <t>@veteranoslinaresCF</t>
  </si>
  <si>
    <t>Nos deja un gran linarense. Nuestro mas sentido pésame a familiares y amigos por el fallecimiento de Luis Pedro Sanchez presidente de ACIL. DEP.</t>
  </si>
  <si>
    <t>Linares, España</t>
  </si>
  <si>
    <t>Twitter oficial</t>
  </si>
  <si>
    <t>intrínseco</t>
  </si>
  <si>
    <t>Xi Jinping y Pedro Sánchez firman una veintena de acuerdos comerciales, institucionales y culturales</t>
  </si>
  <si>
    <t>http://www.rtve.es/alacarta/videos/telediario/xi-jinping-pedro-sanchez-firman-veintena-acuerdos-comerciales-institucionales-culturales/4862880/</t>
  </si>
  <si>
    <t>https://pbs.twimg.com/media/Dt1JYqIW0AU5mZz.jpg</t>
  </si>
  <si>
    <t>No estamos en la era de la información, sino en la era de la gestión de la información...</t>
  </si>
  <si>
    <t>Pedazosol*El Facha</t>
  </si>
  <si>
    <t>José María Ortiz</t>
  </si>
  <si>
    <t>Las cifras del pánico: así conduce Pedro Sánchez al precipicio a todo el PSOE  vía @ESdiario_com</t>
  </si>
  <si>
    <t>Detesto la hipocresía y la desigualdad. Contrario a nacionalismos separatistas de corte racista y excluyente. (Politicamente correcto = Censura) 🇪🇸📗⚪⬛</t>
  </si>
  <si>
    <t>dora martínez alfaro</t>
  </si>
  <si>
    <t>#Sánchez pide incluir en la Constitución la igualdad entre hombres y mujeres… ¡que ya está en el art. 14 desde 1978!</t>
  </si>
  <si>
    <t>http://disq.us/t/39a282x</t>
  </si>
  <si>
    <t>Murcia. España</t>
  </si>
  <si>
    <t>Periodista. Por la ética y dignidad de la profesión. Por la libertad de información.</t>
  </si>
  <si>
    <t>rene fernandez</t>
  </si>
  <si>
    <t>Qué lo explique Pedro Sánchez RT @ElHuffPost: ¿Y esto quién lo paga? El Boca-River reaviva el debate del coste de la seguridad</t>
  </si>
  <si>
    <t>https://twitter.com/ElHuffPost/status/1071086865917321222
http://www.huffingtonpost.es/2018/12/07/y-esto-quien-lo-paga-el-boca-river-reaviva-debate-del-coste-de-la-seguridad_a_23611487/</t>
  </si>
  <si>
    <t>Gavá</t>
  </si>
  <si>
    <t>soy el señor Fernández y usted??'</t>
  </si>
  <si>
    <t>JF DIAZ-DIAZ</t>
  </si>
  <si>
    <t>Conseguir que cuando te alejes de mi lado lo hagas con una sonrisa...</t>
  </si>
  <si>
    <t>http://jf15nal.blogspot.com/</t>
  </si>
  <si>
    <t>Ciudad Real Digital | Noticias | El Gobierno de Pedro Sánchez aprueba el Plan de Choque por el Empleo Joven 2019-2021</t>
  </si>
  <si>
    <t>https://ciudadrealdigital.es/noticias/52339/El/Gobierno/de/Pedro/Sanchez/aprueba/el/Plan/de/Choque/por/el/Empleo/Joven/2019_2021</t>
  </si>
  <si>
    <t>Eddy Enrique Leyba</t>
  </si>
  <si>
    <t>Danilo Medina (RD) y Michelle Bachelet (Pte de Chile) viajaron a N.Y. en 2014 para reunirse con George Soros y se desconoce lo q acordaron. Pedro Sánchez, PM de España, se reunió en secreto con él en Madrid. Luego de eso, cientos de miles de haitianos han emigrado a esos países.</t>
  </si>
  <si>
    <t>Santo Domingo, Rep. Dominicana</t>
  </si>
  <si>
    <t>Economista, University of Pittsburgh. Sin afiliación partidista.</t>
  </si>
  <si>
    <t>Tempus Wasabi  🇪🇸</t>
  </si>
  <si>
    <t>https://www.republica.com/2018/12/07/pedro-sanchez-asistira-a-la-final-de-la-copa-libertadores-en-el-bernabeu/</t>
  </si>
  <si>
    <t>El cielo de España</t>
  </si>
  <si>
    <t>Trabajo en House Water Watch Cooper, auditamos relojes acuáticos desde la casa del Sr. Cooper. Wasabista. Fan de Machado. Azotador de periodistas cincuentañeras</t>
  </si>
  <si>
    <t>FACT-CHECK | Pedro Sánchez: "La derecha europea se vanagloria de no pactar con la ultraderecha" ENGAÑOSO ❌</t>
  </si>
  <si>
    <t>https://newtral.es/fact-check/pedro-sanchez-la-derecha-europea-se-vanagloria-de-no-pactar-con-la-ultraderecha/</t>
  </si>
  <si>
    <t>https://pbs.twimg.com/media/Dt1FFnoW0AAT0ES.jpg</t>
  </si>
  <si>
    <t>Ciudadanos</t>
  </si>
  <si>
    <t>❓ ¿Qué es el #Sanchismo? 📚 Según el #DiccionarioPolítico, dícese de la corriente política cuya única finalidad es llegar al poder a cualquier precio. 👤 Su fundador, Pedro Sánchez, optó por ‘podemizarse’ y legitimar a aquellos que quieren romper el país.</t>
  </si>
  <si>
    <t>Perfil Oficial de Ciudadanos. Somos un partido liberal progresista, demócrata y constitucionalista. Imposible es solo una opinión.</t>
  </si>
  <si>
    <t>http://www.ciudadanos-cs.org/</t>
  </si>
  <si>
    <t>J. A. Serrano</t>
  </si>
  <si>
    <t>Se ha pasado tres pueblos Casado acusa a Pedro Sánchez de ser cómplice de la “kale borroka independentista” por no aplicar el 155  vía @elpais_espana</t>
  </si>
  <si>
    <t xml:space="preserve">Al otro lado del Paraíso </t>
  </si>
  <si>
    <t>«“Nadie es más que nadie”... porque, por mucho que un hombre valga, nunca tendrá valor más alto que el de ser hombre». Antonio Machado: 'Juan de Mairena'.</t>
  </si>
  <si>
    <t>http://jaserrano.me</t>
  </si>
  <si>
    <t>Jaime de Olano</t>
  </si>
  <si>
    <t>Cada vez que Pedro Sánchez deja el Falcón 🛩 y pisa el suelo, los españoles le dejan bien claro lo que piensan de él y su Gobierno.</t>
  </si>
  <si>
    <t>pic.twitter.com/OQG1e8VgAA</t>
  </si>
  <si>
    <t>Diputado por Lugo en el Congreso @GPPopular Concejal Ayto de Viveiro @ppviveiro Abogado. Gallego, por lo tanto, Español jaime.deolanovela@facebook.com 👍</t>
  </si>
  <si>
    <t>http://www.gppopular.es/</t>
  </si>
  <si>
    <t>Alerta Nacional</t>
  </si>
  <si>
    <t>El PSOE, contra el suegro de Pedro Sánchez: propone multar a los clientes de la prostitución</t>
  </si>
  <si>
    <t>https://www.alertanacional.es/el-psoe-contra-el-suegro-de-pedro-sanchez-propone-multar-a-los-clientes-de-la-prostitucion/</t>
  </si>
  <si>
    <t>https://pbs.twimg.com/media/Dt1D1_2UwAEIMI7.jpg</t>
  </si>
  <si>
    <t>https://www.alertanacional.es</t>
  </si>
  <si>
    <t>Sergio Redondo</t>
  </si>
  <si>
    <t>Esta mañana escuché en la radio una valoración sobre el resultado de las elecciones en Andalucía que me resultó muy acertada: 'Susana Díaz desmoviliza a la izquierda mientras Pedro Sánchez moviliza a la derecha'.</t>
  </si>
  <si>
    <t>Cartaya, España</t>
  </si>
  <si>
    <t>SEO Manager en Grupo RAÍZ Digital. Consultor SEO en Señor Muñoz. Reseño libros de ensayo en http://youtube.com/user/sergiornoval Mi familia, mi vida. Leyendo.</t>
  </si>
  <si>
    <t>http://sergioredondo.com</t>
  </si>
  <si>
    <t>Pedro Sánchez confía en quedarse con el centro político de cara al nuevo ciclo electoral @eldiarioes  #7D #40añosdeConstitución #ReformaConstitución #MatanzaAbogadosAtocha #TratadoDeUtrech #ReinoUnido #Brexit #Gibraltar</t>
  </si>
  <si>
    <t>http://www.multiforo.eu/Noticias/2018/Diciembre/Diciembre_07.htm</t>
  </si>
  <si>
    <t>Santiago Leon Garcia</t>
  </si>
  <si>
    <t>Sánchez pide incluir en la Constitución la igualdad entre hombres y mujeres... ¡que ya está en el art. 14 desde 1978!</t>
  </si>
  <si>
    <t>https://okdiario.com/espana/2018/12/07/pedro-sanchez-reformar-constitucion-incluir-igualdad-hombres-mujeres-articulo-14-desde-hace-40-anos-3437620#.XAqlqToo6xk.twitter</t>
  </si>
  <si>
    <t>Rivas-Vaciamadrid, España</t>
  </si>
  <si>
    <t>Sea Cortés, edúquese lo más que pueda y respete para que lo respeten</t>
  </si>
  <si>
    <t>Juan Luis Bautista</t>
  </si>
  <si>
    <t>Engañabobos de Pedro Sánchez, con el plan de empleo para jóvenes.</t>
  </si>
  <si>
    <t>https://okdiario-com.cdn.ampproject.org/v/s/okdiario.com/economia/empleo/2018/12/07/guino-del-gobierno-autonomo-plan-empleo-joven-premia-bonificaciones-contratacion-cuenta-propia-3438794/amp?amp_js_v=a2&amp;amp_gsa=1#referrer=https%3A%2F%2Fwww.google.com&amp;amp_tf=De%20%251%24s&amp;ampshare=https%3A%2F%2Fokdiario.com%2Feconomia%2Fempleo%2F2018%2F12%2F07%2Fguino-del-gobierno-autonomo-plan-empleo-joven-premia-bonificaciones-contratacion-cuenta-propia-3438794</t>
  </si>
  <si>
    <t>____ Integrador de Sistemas ___. No te creas nada de lo que veas, oigas o toques ni te lo dejes de creer, es solo una interpretación, todo es posible.</t>
  </si>
  <si>
    <t>antonio jesus ruano</t>
  </si>
  <si>
    <t>publicitario,agricultor</t>
  </si>
  <si>
    <t>Enrique Ruiz Gimeno</t>
  </si>
  <si>
    <t>Las cuentas de Pedro Sánchez y la senda a ninguna parte  vía @elEconomistaes RT @frdelatorre: Recupero este artículo, que de verdad no escribo hoy aunque lo parezca: Las cuentas de Pedro Sánchez y la senda a ninguna parte  vía @elEconomistaes</t>
  </si>
  <si>
    <t>sevilla</t>
  </si>
  <si>
    <t>http://www.eleconomista.es/opinion-blogs/noticias/9464980/10/18/Las-cuentas-de-pedro-Sanchez-y-la-senda-a-ninguna-parte.html
https://twitter.com/frdelatorre/status/1071030282998951936?s=17</t>
  </si>
  <si>
    <t>Alicante</t>
  </si>
  <si>
    <t>Ingeniero Civil/ITOP con + de 15 años de experiencia en obra civil y obra marítima. Actualmente Feliz y en familia ....por San Vicente del Raspeig (Alicante)</t>
  </si>
  <si>
    <t>http://es.linkedin.com/pub/enrique-ruiz-gimeno/49/916/350</t>
  </si>
  <si>
    <t>Teleprensa</t>
  </si>
  <si>
    <t>Pedro Sánchez hará balance el día 28 tras la última reunión del año del Consejo de Ministros  #noticias</t>
  </si>
  <si>
    <t>http://bit.ly/2B1TzVT</t>
  </si>
  <si>
    <t>Almería, España</t>
  </si>
  <si>
    <t>Twitter OFICIAL de http://TELEPRENSA.COM. Sigue en directo las noticias de tu provincia.</t>
  </si>
  <si>
    <t>http://www.teleprensa.com</t>
  </si>
  <si>
    <t>Francisco Ferrero</t>
  </si>
  <si>
    <t>Un gráfico publicado en esdiario, con todas las corrupciones del PSOE andaluz remata a Susana Díaz, la sultana, y se inicia la caída de los barones del complot del 1-0 en Ferraz. Pedro Sánchez se cobra su venganza, aunque sea a costa de hundir el psoe.</t>
  </si>
  <si>
    <t>Castellón de la Plana, España</t>
  </si>
  <si>
    <t>https://pbs.twimg.com/media/Dt1Aj9HW0AI3E-v.jpg</t>
  </si>
  <si>
    <t>Toledo</t>
  </si>
  <si>
    <t>Gaspar</t>
  </si>
  <si>
    <t>Un Juego de tronos a la Española 🤗🤗 Evidentemente, Pedro Sánchez sería Renly Baratheon 😂 RT @diostuitero: ¿Os imagináis a Pablo Casado, Pedro Sánchez, Albert Rivera, Pablo Iglesias, Gabriel Rufián y Santiago Abascal pactando una Constitución?</t>
  </si>
  <si>
    <t>https://twitter.com/diostuitero/status/1070703777911631874</t>
  </si>
  <si>
    <t>⚪⚫VCF⚪⚫ Live a life you will remember 🦇🦇</t>
  </si>
  <si>
    <t>Juan Contrigo Sape</t>
  </si>
  <si>
    <t>Se hace el longuis. Abucheos a Pedro Sánchez  vía @elmundoes</t>
  </si>
  <si>
    <t>Nacido en Madrid</t>
  </si>
  <si>
    <t>Jesús Prada Alonso</t>
  </si>
  <si>
    <t>manuellopezmariño</t>
  </si>
  <si>
    <t>https://okdiario.com/espana/2018/12/07/pedro-sanchez-reformar-constitucion-incluir-igualdad-hombres-mujeres-articulo-14-desde-hace-40-anos-3437620#.XAqjNaN66i8.twitter</t>
  </si>
  <si>
    <t>Monte xalo</t>
  </si>
  <si>
    <t>Mi pasion el DEPOR, mi afición la fotografia, colaborador de 21 NOTICIAS. Mis BLOG XALOMONTE FOTOGRAFIA BLOG y RIAZORDEPORTIVO BLOG</t>
  </si>
  <si>
    <t>http://riazordeportivo.blogspot.com.es</t>
  </si>
  <si>
    <t>https://pbs.twimg.com/media/Dt0dcFvWoAEfpBY.jpg</t>
  </si>
  <si>
    <t>Pedro Sánchez asistirá a la final de la Copa Libertadores en el Bernabéu. Denle la camiseta de un equipo y una localidad entre la afición del otro. Por ver sus dotes de negociación, más que nada.</t>
  </si>
  <si>
    <t>Cabreado estándar español</t>
  </si>
  <si>
    <t>A todo esto Pedro Sánchez qué hace ? Qué dice de los Mossos ? Qué opina sobre el nazi Torra ? ... 🤔</t>
  </si>
  <si>
    <t>pic.twitter.com/9Zt2ercC5p</t>
  </si>
  <si>
    <t>Replicante iracundo. Tieso y derechas, y en Andalucía... y para colmo del Betis, vamos un don Nadie.</t>
  </si>
  <si>
    <t>https://pbs.twimg.com/media/Dt0_AyeWsAE5BCp.jpg</t>
  </si>
  <si>
    <t>Republica.com</t>
  </si>
  <si>
    <t>https://pbs.twimg.com/media/Dt0-mdnWkAEiod-.jpg</t>
  </si>
  <si>
    <t>Frente al periodismo de partido entra en http://www.republica.com, el periódico en Internet que lidera Pablo Sebastián.</t>
  </si>
  <si>
    <t>https://twitter.com/arturelpayaso2/status/1070703901127651329</t>
  </si>
  <si>
    <t>http://www.republica.com</t>
  </si>
  <si>
    <t>pic.twitter.com/20yF6WPkHy</t>
  </si>
  <si>
    <t>José A. Sotomayor Sánchez</t>
  </si>
  <si>
    <t>Murcia, Región de Murcia.</t>
  </si>
  <si>
    <t>Biólogo e Ing° Téc. Agrícola. Profesor de Investigación del Imida. Concejal de @UPyD en Murcia 2011-15.</t>
  </si>
  <si>
    <t>Pedro Sánchez asistirá a la final d la Copa Libertadores en el Bernabéu. Llegará en su Falcón y en el descanso del partido se autoproclamará Rey de todas las Américas por supuesto estará acompañada d Begoña Gomez q lucirá su nueva corona. ( lo de trabajar para 🇪🇸 si eso otro día) RT @abc_es: Pedro Sánchez asistirá a la final de la Copa Libertadores en el Bernabéu</t>
  </si>
  <si>
    <t>https://twitter.com/abc_es/status/1071045416211365889
http://ver.abc.es/77ui01</t>
  </si>
  <si>
    <t>Estadio Deportivo</t>
  </si>
  <si>
    <t>#CopaLIbertadores Pedro Sánchez asistirá a la final de la Copa Libertadores en el Bernabéu</t>
  </si>
  <si>
    <t>http://ow.ly/BmwS30mTVKL</t>
  </si>
  <si>
    <t>Sevilla, España Seville, Spain</t>
  </si>
  <si>
    <t>ESTADIO Deportivo. Primer y único diario deportivo de Andalucía. Año XXIII. Todas las noticias del deporte #SevillaFC #Betis #BetisBaloncesto @FSevillanoED</t>
  </si>
  <si>
    <t>http://www.estadiodeportivo.com</t>
  </si>
  <si>
    <t>The Metal Circus</t>
  </si>
  <si>
    <t>Se confirma que los Rhapsody de Alfred Garcia, Pedro Sánchez Pérez-Castejón, EDUARD PUNSET y Ana Torroja están en camino. Se habla de un futuro negocio de franquiciado de Rhapsody por todo el mundo.</t>
  </si>
  <si>
    <t>https://www.themetalcircus.com/noticias/turilli-lione-rhapsody-crowdfunding/</t>
  </si>
  <si>
    <t>Cuenta oficial de Twitter de #themetalcircus, tu web de información sobre #rock y #heavymetal desde 2002🤘 ⏩ http://themetalcircus.com ⏪</t>
  </si>
  <si>
    <t>http://www.themetalcircus.com</t>
  </si>
  <si>
    <t>http://ver.20m.es/6j_lq1</t>
  </si>
  <si>
    <t>https://pbs.twimg.com/media/Dt09AwlWoAAfpXs.jpg</t>
  </si>
  <si>
    <t>Gerardo J. Mogollón</t>
  </si>
  <si>
    <t>Con 96% votos, en Andalucía le han dado el primer coñ... a Pedro Sánchez!</t>
  </si>
  <si>
    <t>Van gelder</t>
  </si>
  <si>
    <t>Catia la Mar, Venezuela</t>
  </si>
  <si>
    <t>Hay muertos que no olvido y vivos que para mi ya murieron</t>
  </si>
  <si>
    <t>#YoNoSintonizoMediaset ¯\_(ツ)_</t>
  </si>
  <si>
    <t>La televisión es el espejo donde se refleja la derrota de todo nuestro sistema cultural y MORAL__</t>
  </si>
  <si>
    <t>Tonto a las 3:Sánchez pide incluir en la Constitución la igualdad entre hombres y mujeres... ¡que ya está en el art. 14 desde 1978!</t>
  </si>
  <si>
    <t>JMM.es</t>
  </si>
  <si>
    <t>Pedro Sánchez recibe abucheos a su llegada y salida del homenaje a la Co...  vía @YouTube</t>
  </si>
  <si>
    <t>https://youtu.be/Kf0rLbMfnak</t>
  </si>
  <si>
    <t>http://www.veoinfo.com/pedro-sanchez-asistira-a-la-final-de-la-libertadores-en-el-bernabeu/</t>
  </si>
  <si>
    <t>https://pbs.twimg.com/media/Dt072DHU4AMxkCW.jpg</t>
  </si>
  <si>
    <t>Esto es lo que este sicópata y XENOFOGO de torras hace con el permiso del pago de ese gobierno ilegal de pedro sanchez RT @Richard_Pinault: A que esperas aplicar el 155 @sanchezcastejon y la disolución del Parlament de Catalunya... ¿Hasta cuando hay que esperar, que precio hay que pagar? #NoEsNo</t>
  </si>
  <si>
    <t>https://twitter.com/Richard_Pinault/status/1071054813012594688
https://twitter.com/Bcnisnotcat_/status/1070801745968852992</t>
  </si>
  <si>
    <t>R.D.</t>
  </si>
  <si>
    <t>Para esto se reunió Pedro Sánchez con Soros nada más llegar s la Moncloa... España debe retirarse de ese pacto de inmigración de la ONU cuanto antes SI QUIERE SOBREVIVIR COMO PAÍS... @PPopular @CiudadanosCs @vox_es @UPYD #NoAlPactoMigratorioONU RT @anoxiaplus: @rubnpulido @debate_es Y el día 11 en Marruecos firmará España a favor de todo lo que nos quieran hacer. Y si protestamos seremos delicuentes. Para eso vino Pedro de presidente, para dar las llaves de nuestra casa común.</t>
  </si>
  <si>
    <t>https://twitter.com/anoxiaplus/status/1070829564228714496</t>
  </si>
  <si>
    <t>Abucheos a Pedro Sánchez en los actos de la Constitución  vía @YouTube</t>
  </si>
  <si>
    <t>https://youtu.be/fNkyCYCTeWE</t>
  </si>
  <si>
    <t>Pedro Sánchez logra incrementar la llegada de inmigrantes un 350%!!! Y sin votarle!!!!! RT @Jacobo7elbobo: Matteo Salvini logra reducir la llegada de inmigrantes ilegales a Italia en un 96%</t>
  </si>
  <si>
    <t>https://twitter.com/jacobo7elbobo/status/1071071429842624512
https://casoaislado.com/matteo-salvini-logra-reducir-la-llegada-inmigrantes-ilegales-italia-96/</t>
  </si>
  <si>
    <t>Hector Luis Javier</t>
  </si>
  <si>
    <t>Diputado Pedro Botello recibe a estudiantes del Liceo Emma Ramona Sánchez Fernández quienes fueron Diputados por un día.. #soybotellista #botellopresidente2032</t>
  </si>
  <si>
    <t>La Romana, Dominican Republic</t>
  </si>
  <si>
    <t>Lucas 17;10 Siervo inútil, predicador,Cantautor, presentador TV, Pastor Juvenil, Instrumento de Dios para esta Generación...</t>
  </si>
  <si>
    <t>Nuestro Coordinador Provincial y Dirigente Nacional, Mashi Pedro Ramon Mendoza Sanchez, participò en esta semana en la inauguraciòn de la gran central en el Sur de #Quito en respaldo @PabloDavalos63 CANDIDATO A LA ALCALDIA DE QUITO @PachakutikPi @PKnacional18</t>
  </si>
  <si>
    <t>https://pbs.twimg.com/media/Dt04aQYXcAAoYdY.jpg</t>
  </si>
  <si>
    <t>7 de Caballería</t>
  </si>
  <si>
    <t>El 'palo' de Rosa Díez a Pedro Sánchez a cuenta de Vox  No es difícil desenmascarar el discurso de quien a okupado la Moncloa de la mano de los que realmente atacan la Constitución y ahora dice lo que dice... Credibilidad = 0</t>
  </si>
  <si>
    <t>Médico de profesión y piloto aviador de devoción. Liberal, luchador y reivindicativo...Harto de la corrupción y la mediocridad política que padecemos.</t>
  </si>
  <si>
    <t>Anglo Hispano Arabe</t>
  </si>
  <si>
    <t>Cáceres, Extremadura</t>
  </si>
  <si>
    <t>Soy Español. Mis dos amores El toro y el caballo. La musica del Maestro Tejera y el silencio de la Real Maestranza. Viva España.!!! Mis caballos lo mejor.!</t>
  </si>
  <si>
    <t>Hipocresía Caviar</t>
  </si>
  <si>
    <t>Quien sale primero, el General Francisco Franco o el okupa de la Moncloa @sanchezcastejon ?? Creo q cuando Pedro Sánchez salga de la Presidencia Franco seguirá en el Valle de los caídos</t>
  </si>
  <si>
    <t>https://pbs.twimg.com/media/Dt06JDnXQAA-YwF.jpg</t>
  </si>
  <si>
    <t>Destapando la falsa moral caviar</t>
  </si>
  <si>
    <t>Lo sensato, lo lógico, lo ajustado a Derecho es juzgar a Mariano Rajoy y a Pedro Sánchez por alta traición.</t>
  </si>
  <si>
    <t>Docta Noticias</t>
  </si>
  <si>
    <t>El presidente español Pedro Sánchez asistirá a la final de la Copa Libertadores El Palacio de la Moncloa confirmó la presencia del mandatario este domingo en el estadio. El presidente Pedro Sánchez asistirá este domingo a la final de la Copa Libertador…</t>
  </si>
  <si>
    <t>https://ift.tt/2Um3iz0</t>
  </si>
  <si>
    <t>#DoctaNoticias Mashup de las principales noticias en la localidad de Córdoba - Argentina - En el Valle de Punilla @NoticiasPunilla Contacto @gustav0lopez</t>
  </si>
  <si>
    <t>JSBurgos</t>
  </si>
  <si>
    <t>🔴Formación 🔴FP dual 🔴Estatuto de prácticas no laborales 🔴Plan de retorno de talento 🔴Impulso de contrato de relevo 🔴Apoyo a mujeres en el mundo rural Unas pocas de las muchas medidas que el Gobierno de Pedro Sánchez y PSOE por el empleo joven #RazonesParaConfiar</t>
  </si>
  <si>
    <t>Organización de la juventud socialista burgalesa. Queremos mejorar Burgos</t>
  </si>
  <si>
    <t>http://www.jse-burgos.es</t>
  </si>
  <si>
    <t>Las cifras del pánico: así conduce Pedro Sánchez al precipicio a todo el...  vía @YouTube</t>
  </si>
  <si>
    <t>https://youtu.be/_ifz81LmVRE</t>
  </si>
  <si>
    <t>Martín Madridejos</t>
  </si>
  <si>
    <t>El viaje de Pedro Sánchez sirvió para recuperar el dialogo político de alto nivel con Cuba después de 32 años de ausencia</t>
  </si>
  <si>
    <t>https://elpais.com/elpais/2018/12/01/mas_se_perdio_en_la_habana/1543663515_880538.html?id_externo_rsoc=TW_CC</t>
  </si>
  <si>
    <t>Por el momento camarero, pero quien sabe en un futuro. Interesado en política internacional, Balcanes, Cuba y artes marciales. Máster en RRII y bloguero.</t>
  </si>
  <si>
    <t>http://oasisenlahecatombe.com</t>
  </si>
  <si>
    <t>José Manuel Puente</t>
  </si>
  <si>
    <t>Pedro Sánchez calla mientras sus socios de investidura criminalizan a los Mossos por cumplir su deber. Supresión de policías autonómicas y devolución de competencias de Educación y Sanidad al Estado debe ser el primer paso hacia el fin de las Autonomías #FueraAutonomías</t>
  </si>
  <si>
    <t>Entre Almería y Granada, ES</t>
  </si>
  <si>
    <t>Roger Pascual</t>
  </si>
  <si>
    <t>Entrevista con @jessicaalbiach, líder de @CatEnComu_Podem en el @parlamentcat: "Si Pedro @sanchezcastejon no escucha a Catalunya, acabará como @susanadiaz"</t>
  </si>
  <si>
    <t>Periodista de @elperiodico. Autor de Desaparecidos en España (https://bit.ly/1nfpV6z), Les sectes a Catalunya (https://bit.ly/2qdN8dd) y L'ombra de les sectes</t>
  </si>
  <si>
    <t>RLC (2017-05-22) Pedro Sánchez, jinete sin cabeza del PSOE TRES IDEAS-FUERZA, forma política del Estado, DemocraciaFormal,</t>
  </si>
  <si>
    <t>https://youtu.be/BDBS6F7sX-Q</t>
  </si>
  <si>
    <t>Angel Baena 🇪🇸</t>
  </si>
  <si>
    <t>Increíble pero cierto!!!... El gobierno de Pedro Sanchez, que ha pactado con proetarras, separatistas, golpistas del 1-O y del 3%, y con los agitadores callejeros de podemos...dando clases a PP y C's de con quien tienen que pactar y con quien no.🤦‍♂️</t>
  </si>
  <si>
    <t>ME ENCANTA QUE LOS PLANES SALGAN BIEN 🤣</t>
  </si>
  <si>
    <t>Orden Cuchara de Palo</t>
  </si>
  <si>
    <t>Desde la Orden de La Cuchara de Palo queremos mostrar nuestro más sentido pesar por la muerte de Luis Pedro Sánchez, 14 años presidente de la Asociación de Comerciantes e Industriales de Linares ACIL, impulsor y defensor de la Ruta de la Tapa de la que somos Jurado. DEP</t>
  </si>
  <si>
    <t>https://pbs.twimg.com/media/Dt02qO9WoAEYS0E.jpg</t>
  </si>
  <si>
    <t>Perfil oficial de la Muy Ilustre y Noble Orden de los Caballeros de la Cuchara de Palo</t>
  </si>
  <si>
    <t>https://cucharadepalo.org/</t>
  </si>
  <si>
    <t>ENTREVISTA | La líder de @Catencomu_podem en el Parlament, @jessicaalbiach: "Si Sánchez no escucha a Catalunya, acabará como Susana Díaz"</t>
  </si>
  <si>
    <t>http://elperiodi.co/fwcrr1</t>
  </si>
  <si>
    <t>Karls Vall</t>
  </si>
  <si>
    <t>Nature lover. Incurable music, yoga &amp; transcendental meditation nerd. Republican.</t>
  </si>
  <si>
    <t>azorka13</t>
  </si>
  <si>
    <t>Las Palmas, Islas Canarias</t>
  </si>
  <si>
    <t>Política Política Prensa Nacional</t>
  </si>
  <si>
    <t>eju.tv</t>
  </si>
  <si>
    <t>El presidente español Pedro Sánchez asistirá a la final de la Copa Libertadores en el Santiago Bernabéu -</t>
  </si>
  <si>
    <t>http://eju.tv/2018/12/el-presidente-espanol-pedro-sanchez-asistira-a-la-final-de-la-copa-libertadores-en-el-santiago-bernabeu/</t>
  </si>
  <si>
    <t>https://pbs.twimg.com/media/Dt01tqMWkAA0qBM.jpg</t>
  </si>
  <si>
    <t>Santa Cruz de la Sierra</t>
  </si>
  <si>
    <t>Monitoreo de radio, televisión y prensa de Bolivia. Noticias, entretenimiento, clasificados, opinión y debate x escrito y en videos.</t>
  </si>
  <si>
    <t>http://eju.tv/</t>
  </si>
  <si>
    <t>Katherine Correa</t>
  </si>
  <si>
    <t>http://ver.abc.es/77ui01
http://dlvr.it/Qt4KyX</t>
  </si>
  <si>
    <t>Y hoy voy a beber 🍻 🍻 🍻</t>
  </si>
  <si>
    <t>Mayte Cortés</t>
  </si>
  <si>
    <t>Coruñesa, cordobesa y Española. Viva España!!🇪🇸 Bloqueada por P. Iglesias el coletas, el asesino Otegui, el fascista Torra, Antonio Maestre.. 💪 💙🇪🇸 No MD</t>
  </si>
  <si>
    <t>antonio la ley</t>
  </si>
  <si>
    <t>ANALFABURRO. Ridículo apoteósico: Pedro Sánchez pide reformar la Constitución para incluir un artículo... que ya existe  vía @MediterraneoDGT</t>
  </si>
  <si>
    <t>🎙️Pedro Sánchez ©️</t>
  </si>
  <si>
    <t>Casado acusa a Pedro Sánchez de ser cómplice de la “kale borroka independentista” por no aplicar el 155 Me encanta este hombre. Es un científico comprobando empíricamente los límites de la decencia política y la verdad</t>
  </si>
  <si>
    <t>Galdakao, Bizkaia</t>
  </si>
  <si>
    <t>#Podcasting en @avpodnet #InnovaciónSocial Yo antes solía ver la belleza de este mundo y mientras caía, creía que volaba. Ahora veo la verdad(eso creo yo)❤️NYC</t>
  </si>
  <si>
    <t>http://avpodcast.net</t>
  </si>
  <si>
    <t>https://pbs.twimg.com/media/Dt00ZnMVYAAuRDq.jpg</t>
  </si>
  <si>
    <t>Concepción 🇪🇸 #SanchezDimision</t>
  </si>
  <si>
    <t>https://pbs.twimg.com/media/Dt00VpVVsAAASqo.jpg</t>
  </si>
  <si>
    <t>José Manuel Sánchez Fornet</t>
  </si>
  <si>
    <t>RT todas las notícias e historia sobre Cataluña y Sanchez a la prensa extranjera. La verdad es nuestra mejor arma Nazios los bloqueo a la 1ra.</t>
  </si>
  <si>
    <t>En Cataluña, Rajoy y Pedro Sánchez, PSOE y PP son responsables por omisión, cobardía, ineptitud, complicidad, de la situación contra los Derechos y Libertades de millones de personas desde hace años. Y del perjuicio que arrastra para todo el Estado nación.</t>
  </si>
  <si>
    <t>La Declaración Universal de los Derechos Humanos, mi Biblia. “Jamás la huida por muchos que sean”, Magdalena S. Blesa en poema “instrucciones a mis hijos”.</t>
  </si>
  <si>
    <t>https://confidencialandaluz.com/tag/jose-manuel-sanchez-fornet/</t>
  </si>
  <si>
    <t>JCM</t>
  </si>
  <si>
    <t>Ha prometido que por esta vez, y solo por ésta, no irá en el Falcon.</t>
  </si>
  <si>
    <t>https://amp.ondacero.es/deportes/futbol/pedro-sanchez-acudira-river-boca-copa-libertadores-santiago-bernabeu_201812075c0a6c410cf21af4301e1cd5.html?__twitter_impression=true</t>
  </si>
  <si>
    <t>Socio del Real Jaén, cofrade de los Estudiantes y autónomo ¡Casi ná!</t>
  </si>
  <si>
    <t>https://pbs.twimg.com/media/Dt0zoyWWsAADSAQ.jpg</t>
  </si>
  <si>
    <t>Pedro Sánchez desconoce la Constitución: pide reformarla para incluir la igualdad entre hombres y mujeres, SE SUPERA CADA DÍA EN SAPIENCIA... FRUTO DE SU PLAGITESIS..?  vía @libertaddigital</t>
  </si>
  <si>
    <t>Miguel Echeverría</t>
  </si>
  <si>
    <t>https://okdiario.com/espana/2018/12/07/pedro-sanchez-reformar-constitucion-incluir-igualdad-hombres-mujeres-articulo-14-desde-hace-40-anos-3437620</t>
  </si>
  <si>
    <t>D. Castell</t>
  </si>
  <si>
    <t>Cabalgando en un mundo donde los caballeros andantes son tomados por locos. Español, catolico, sedevacantista, en guerra con el Estado totalitario y el NOM.</t>
  </si>
  <si>
    <t>http://Edicionescatolicas.org</t>
  </si>
  <si>
    <t>Aprendiendo siempre. Quien ama de verdad lo hace en silencio, con hechos, y nunca con palabras.</t>
  </si>
  <si>
    <t>http://dlvr.it/Qt4Hzg</t>
  </si>
  <si>
    <t>https://pbs.twimg.com/media/Dt0zcNQUUAAiCLz.jpg</t>
  </si>
  <si>
    <t>Gungir</t>
  </si>
  <si>
    <t>Acabaremos mal... muy mal...Casado acusa a Pedro Sánchez de ser cómplice de la “kale borroka independentista” por no aplicar el 155  vía @elpais_espana</t>
  </si>
  <si>
    <t>El Gobierno aprueba el mismo objetivo de déficit que ya rechazó el Congreso y que Bruselas no se cree. Vamos, que lo han vuelto a copiar ¿Y qué querían ustedes? Es Pedro Sánchez, de profesión copión.</t>
  </si>
  <si>
    <t>Radio Sport Djs</t>
  </si>
  <si>
    <t>Ridículo apoteósico: Pedro Sánchez pide reformar la Constitución para incluir un artículo․.. que ya existe  vía @MediterraneoDGT ES EL ART. 14 CE, COMO ESTA ACOSTUMBRADO AL PLAGIO POR ESO DICE REFORMAR LA CE. TAMBIÉN YA ES HORA DE ELECCIONES PRESIDENTE</t>
  </si>
  <si>
    <t>Radio Deportiva y Djs para todos los amantes de la fiesta y el deporte</t>
  </si>
  <si>
    <t>http://www.radiosportdjs.com</t>
  </si>
  <si>
    <t>Algeciras, España</t>
  </si>
  <si>
    <t>Aurelio Naranjo</t>
  </si>
  <si>
    <t>Pedro sanchez aquí estoy ahora que</t>
  </si>
  <si>
    <t>https://pbs.twimg.com/media/Dt0yeUhXcAAWAxD.jpg</t>
  </si>
  <si>
    <t>Malove.</t>
  </si>
  <si>
    <t>Vlld. España</t>
  </si>
  <si>
    <t>Vivir la vida a tope¡¡</t>
  </si>
  <si>
    <t>peter brown</t>
  </si>
  <si>
    <t>Deben ser denunciados este tipo y quien lo mantiene Pedro Sanchez #PresidenteOkupa  vía @MediterraneoDGT</t>
  </si>
  <si>
    <t>https://www.mediterraneodigital.com/espana/nacional/torra-ordena-a-los-mossos-que-no-actuen-contra-los-antifascistas-para-defender-a-vox.html</t>
  </si>
  <si>
    <t>Earth Planet</t>
  </si>
  <si>
    <t>El Jefe Bafang de Cameroun y sus mujeres. ¡qué tiempos! Enterosexual. De cintura para arriba prefiero no hablar (Fake)</t>
  </si>
  <si>
    <t>pep alava</t>
  </si>
  <si>
    <t>Vitoria-Alava-Pais Vasco-Spain</t>
  </si>
  <si>
    <t>MIGUEL SILVA</t>
  </si>
  <si>
    <t>Pedro Sánchez Messi en el Bernabéu. River-Boca: últimas noticias de la final de la Copa Libertadores | Directo</t>
  </si>
  <si>
    <t>https://www.elperiodico.com/es/deportes/20181207/river-boca-final-libertadores-directo-online-7189271</t>
  </si>
  <si>
    <t>Me encanta viajar y estar en Formentera o Nueva York e ir a Japón.</t>
  </si>
  <si>
    <t>SETI I</t>
  </si>
  <si>
    <t>Pedro Sánchez quiere reformar la Constitución para incluir la igualdad entre hombres y mujeres  via @eldiarioes</t>
  </si>
  <si>
    <t>https://www.eldiario.es/_32458250</t>
  </si>
  <si>
    <t>Catalán,Republicano,de izquierdas, en lucha por los derechos civiles y humanos, por la Igualdad Social y la Justicia. Casa de acogida de animales abandonados.</t>
  </si>
  <si>
    <t>http://page.is/alfred-martin</t>
  </si>
  <si>
    <t>https://thenewsatyourfingertips.wordpress.com/2018/12/07/pedro-sanchez-asistira-a-la-final-de-la-copa-libertadores-en-el-bernabeu/</t>
  </si>
  <si>
    <t>http://dlvr.it/Qt4Fbg</t>
  </si>
  <si>
    <t>https://pbs.twimg.com/media/Dt0w6ySVAAAfSZF.jpg</t>
  </si>
  <si>
    <t>Aún no está confirmada la presencia del mandatario argentino, Mauricio Macri</t>
  </si>
  <si>
    <t>https://www.lavanguardia.com/politica/20181207/453408668752/boca-juniors-river-plate-final-copa-libertadores-pedro-sanchez.html?utm_source=twitter_lv&amp;utm_medium=social</t>
  </si>
  <si>
    <t>Super Agente 86</t>
  </si>
  <si>
    <t>Me pregunto si Pedro Sánchez es consciente de lo que está haciendo, o simplemente es un inconsciente</t>
  </si>
  <si>
    <t>Cataluña</t>
  </si>
  <si>
    <t>Digo lo que pienso y me equivoco más que acierto</t>
  </si>
  <si>
    <t>Bustos Alberto Oscar</t>
  </si>
  <si>
    <t>Trabajo en Telecom y soy militante gremial y político. ideologia peronista y por el bien de la patria</t>
  </si>
  <si>
    <t>Esto es mas preocupante y trabajo bien echo que lo que hace Pedro sanchez equiparación ya RT @UnionGC_Trafico: #Asturias Efectivos de la Agrupación de #Tráfico de la #GuardiaCivil detectan a un conductor de un vehículo articulado que multiplicaba x8 la tasa máxima de alcohol permitida a profesionales. Gran servicio en aras de la #SeguridadVial!!</t>
  </si>
  <si>
    <t>https://twitter.com/UnionGC_Trafico/status/1071059834303336449
https://buff.ly/2AXtcQD</t>
  </si>
  <si>
    <t>https://pbs.twimg.com/media/Dt0rPiZX4AAagMF.jpg</t>
  </si>
  <si>
    <t>Luis Javier Sanjuan</t>
  </si>
  <si>
    <t>Rufián vuelve a la sesión de control tras su expulsión y preguntará a Sánchez si hará algo frente a la ultraderecha Seguro que sí hará algo, pedirá a los independentistas y nacionalistas españoles, y principalmente a tí, que midais bien lo que hacéis todos</t>
  </si>
  <si>
    <t>Catalán y jubilado. Me siento socialista y lo intento llevar a cabo. Como podréis observar la orquídea ha crecido y florecido, los socialistas igual.</t>
  </si>
  <si>
    <t>Alex</t>
  </si>
  <si>
    <t>Que alguien le diga a Sánchez que no hay "barra libre" que los que van son los "barras bravas"</t>
  </si>
  <si>
    <t>https://www.abc.es/deportes/futbol/abci-pedro-sanchez-asistira-final-bernabeu-201812071351_noticia.html#ns_campaign=rrss&amp;ns_mchannel=abc-es&amp;ns_source=tw&amp;ns_linkname=cm-general&amp;ns_fee=0</t>
  </si>
  <si>
    <t>https://pbs.twimg.com/media/Dt0vS4uW4AEFOaj.jpg</t>
  </si>
  <si>
    <t>At Home</t>
  </si>
  <si>
    <t>Vasco, Español, Progresista ➡️ Informático ➡️ FcBarcelona</t>
  </si>
  <si>
    <t>Pedro Sánchez confía en quedarse con el centro político de cara al nuevo ciclo electoral  via @eldiarioes</t>
  </si>
  <si>
    <t>https://www.eldiario.es/_3245823b</t>
  </si>
  <si>
    <t>vikuku</t>
  </si>
  <si>
    <t>Pedro Sánchez demuestra ser un ignorante y un caradura en una entrevista concedida a El País - El Diestro</t>
  </si>
  <si>
    <t>Me flipa la aviación</t>
  </si>
  <si>
    <t>https://pbs.twimg.com/media/Dt0uymCX4AAsjDo.jpg</t>
  </si>
  <si>
    <t>https://www.europapress.es/nacional/noticia-pedro-sanchez-hara-balance-dia-28-ultima-reunion-ano-consejo-ministros-20181207160801.html</t>
  </si>
  <si>
    <t>https://pbs.twimg.com/media/Dt0ub_FXgAAw-54.jpg</t>
  </si>
  <si>
    <t>Noticias Venezuela</t>
  </si>
  <si>
    <t>https://gunow.vcoud.com/post/Pedro-Sanchez-asistira-a-la-final-de-la-Copa-Libertadores-en-el-Bernabeu-La-Patilla</t>
  </si>
  <si>
    <t>Noticias las 24 Horas de las mejores fuentes. Descarga nuestra App Gratis! https://goo.gl/YmsCqd</t>
  </si>
  <si>
    <t>https://goo.gl/YmsCqd</t>
  </si>
  <si>
    <t>Y las Empresas Obliga a Pedro Sánchez que vajen los impuestos para poder mantener las empresas y a sus empleados que también baje la Luz y EMIGRTSPE.ElGobierno aprueba obligar a las empresas que reciban ayudas a mantener la activida y otras cuatro noticias</t>
  </si>
  <si>
    <t>https://www.abc.es/economia/abci-gobierno-aprueba-obligar-empresas-reciban-ayudas-mantener-actividad-y-otras-cuatro-noticias-201812071548_noticia.html#ns_campaign=rrss-inducido&amp;ns_mchann</t>
  </si>
  <si>
    <t>Galiciapress</t>
  </si>
  <si>
    <t>Hace años que Vázquez, aliado gallego del susanismo, mantiene enfrentamientos con la actual cúpula del @PSdeG, alineada con Pedro Sánchez. @PSdeGdeOurense</t>
  </si>
  <si>
    <t>https://www.galiciapress.es/texto-diario/mostrar/1274118/ciudadanos-galicia-desvincula-posible-candidatura-pachi-vazquez-ourense</t>
  </si>
  <si>
    <t>TE INFORMA</t>
  </si>
  <si>
    <t>http://www.galiciapress.es/</t>
  </si>
  <si>
    <t>La mujer de Pedro Sanchez, tiene que estudiar protocolo, el dinero no lo es todos,la primera dama dela nación es la Reina Letizia.</t>
  </si>
  <si>
    <t>SER_Murcia</t>
  </si>
  <si>
    <t>Julio Algar gana apoyos para ser director deportivo del @RealMurciaCFSAD e iguala a Óscar Sánchez y Pedro Cordero  vía @SER_Murcia</t>
  </si>
  <si>
    <t>http://cadenaser.com/emisora/2018/12/05/radio_murcia/1544017272_619739.html?ssm=tw</t>
  </si>
  <si>
    <t>Cadena SER en la Región de Murcia</t>
  </si>
  <si>
    <t>http://www.radiomurcia.es</t>
  </si>
  <si>
    <t>FD</t>
  </si>
  <si>
    <t>Tamar</t>
  </si>
  <si>
    <t>Pedro Sánchez ha ofrecido a Torra y a Junqueras el acuerdo de que si apoyan los presupuestos, retirarán de toda Cataluña a la Guardia Civil y a la Policía Nacional. Hasta que punto es capaz de ceder este miserable con tal de continuar en Moncloa? No tiene límites. Da vergüenza</t>
  </si>
  <si>
    <t>Sev</t>
  </si>
  <si>
    <t>Mi vocación: Servir al ciudadano, pero la vida me deparo otro destino. Por mis venas corre sangre verde/azul. Ahora soy Ángel Custodio</t>
  </si>
  <si>
    <t>http://facebook.com/f.diazfran</t>
  </si>
  <si>
    <t>https://ift.tt/2G71BCF</t>
  </si>
  <si>
    <t>El Nene Patriota 🇪🇸</t>
  </si>
  <si>
    <t>Quim Torra ayunará antes de la visita de Pedro Sánchez a Barcelona 😂</t>
  </si>
  <si>
    <t>https://www.economiadigital.es/politica-y-sociedad/quim-torra-ayunara-antes-de-la-visita-de-pedro-sanchez-a-barcelona_592919_102.html</t>
  </si>
  <si>
    <t>Entre Castilla y Aragón</t>
  </si>
  <si>
    <t>Joven Abogado. Del Real Madrid. Mis principios: Familia, Cristianismo, Patria, Tradición, Ley y Orden. Según la prograda: machirulo, islamóbofo y facha.</t>
  </si>
  <si>
    <t>EntornoInteligente</t>
  </si>
  <si>
    <t>&amp;nbsp; Pedro Sánchez asistirá a la final de la Copa Libertadores en el Bernabéu</t>
  </si>
  <si>
    <t>https://goo.gl/A7rE23</t>
  </si>
  <si>
    <t>https://pbs.twimg.com/media/Dt0qfqyU0AEsisk.jpg</t>
  </si>
  <si>
    <t>http://www.EntornoInteligente.com Más noticias imposible. Todas las noticias en un sólo lugar. Síguenos, recomiéndanos y haz RT a todas nuestras noticias.😎</t>
  </si>
  <si>
    <t>http://www.EntornoInteligente.com</t>
  </si>
  <si>
    <t>🇪🇸ESPAÑA LO PRIMERO🇪🇸</t>
  </si>
  <si>
    <t>Por qué no interviene Pedro Sánchez en Cataluña?</t>
  </si>
  <si>
    <t>https://pbs.twimg.com/media/Dt0qWIlWsAAWHVb.jpg</t>
  </si>
  <si>
    <t>España somos tú y yo y el hogar que nos ampara, la tumba de nuestros padres y el jardín de nuestra casa.</t>
  </si>
  <si>
    <t>Fantástica la socialista que fue del PSOE, y del UPYD!! El 'palo' de Rosa Díez a Pedro Sánchez a cuenta de Vox</t>
  </si>
  <si>
    <t>Catalunya Lliure</t>
  </si>
  <si>
    <t>Catalunya, Països Catalans</t>
  </si>
  <si>
    <t>Diari digital independentista creat l'1 d'agost del 2014 per molts voluntaris.</t>
  </si>
  <si>
    <t>http://catalunyalliure.cat</t>
  </si>
  <si>
    <t>Zamora con VOX 🇪🇸</t>
  </si>
  <si>
    <t>Esto no lo decimos nosotros 🤷‍♂️. Lo dice el n° 1 del #PSOE Pedro Sánchez @sanchezcastejon: dice que tiene la obligación de someterse a una Cuestión de Confianza. #EleccionesGeneralesYa @madrid_vox @vox_es #Vox #Presupuestos #40AñosDeConstitución</t>
  </si>
  <si>
    <t>pic.twitter.com/VCDbwCHpnz</t>
  </si>
  <si>
    <t>Zamora, España</t>
  </si>
  <si>
    <t>Cuenta no oficial de #VOX en #Zamora. #EspañaViva #ExtremaNecesidad #VoxAvanza</t>
  </si>
  <si>
    <t>Pilates&amp;Osteopatía</t>
  </si>
  <si>
    <t>http://ww.cope.es/zofr63</t>
  </si>
  <si>
    <t>Las Rozas de Madrid</t>
  </si>
  <si>
    <t>Clases de Pilates personalizadas. Osteopatía estructural, visceral y craneal. Las Matas (Las Rozas), también a domicilio</t>
  </si>
  <si>
    <t>http://www.pilates-quiromasaje-susanagil.es</t>
  </si>
  <si>
    <t>ESPAÑOL, Maño, aragonés y europeo.</t>
  </si>
  <si>
    <t>Este definitivamente es tonto</t>
  </si>
  <si>
    <t>Clark Kent</t>
  </si>
  <si>
    <t>La prensa española es lo peor Madrid: todo precioso nada malo Catalunya: lazos amarillos Valencia: fraude Galicia y Asturias: vacas Andalucía: Tekken Susana VS Pedro Sánchez Baleares: guiris Castilla la Mancha, Castilla y León, Extremadura, Murcia, País Vasco, I.Canarias... Eing?</t>
  </si>
  <si>
    <t>Universitario. Primero la familia y los amigos. Valenciano y valencianista hasta la muerte. Ídolo: Pablo Aimar. The walking dead👌</t>
  </si>
  <si>
    <t>Marga Alcaide</t>
  </si>
  <si>
    <t>El artículo 14 de la Carta Magna dice así: "Los españoles son iguales ante la ley, sin que pueda prevalecer discriminación alguna por razón de nacimiento, raza, sexo, religión, opinión o cualquier otra condición o circunstancia personal o social".. Pedro Sánchez lo desconocía. RT @AlcaideMarga: Pedro Sánchez desconoce la Constitución: pide reformarla para incluir la igualdad entre hombres y mujeres - Libertad Digital</t>
  </si>
  <si>
    <t>https://twitter.com/AlcaideMarga/status/1071057334623981570
https://www.libertaddigital.com/espana/2018-12-06/pedro-sanchez-desconoce-la-constitucion-pide-reformarla-para-incluir-la-igualdad-entre-hombres-y-mujeres-1276629507/</t>
  </si>
  <si>
    <t>Sevilla, Andalucía</t>
  </si>
  <si>
    <t>Si alguien busca un cubo para echar su basura procura que no sea tú mente. DalaiLama</t>
  </si>
  <si>
    <t>Horajaen.com</t>
  </si>
  <si>
    <t>PROVINCIA | Además también han sido premiados la firma jienense “Quesos y Besos” o la Cooperativa Picualia en un evento que se celebrará en #Baeza</t>
  </si>
  <si>
    <t>https://www.horajaen.com/2018/12/07/el-presidente-de-freixenet-o-el-cocinero-pedro-sanchez-premios-cuchara-de-palo/</t>
  </si>
  <si>
    <t>Jaen</t>
  </si>
  <si>
    <t>Periódico de información y opinión. Toda la actualidad de Jaén. “Está pasando, te estás informando”</t>
  </si>
  <si>
    <t>http://www.horajaen.com</t>
  </si>
  <si>
    <t>Su Pablentineza</t>
  </si>
  <si>
    <t>Cuando eres pariente de Pedro Sánchez pero no lo sabes 😂😂 #Felizviernes #Felizfinde RT @TodoJingles: Acompáñenme en esta triste historia con @Cinesa</t>
  </si>
  <si>
    <t>https://twitter.com/TodoJingles/status/1070680967331880960</t>
  </si>
  <si>
    <t>https://pbs.twimg.com/media/DtvSqGMW4AAbn29.jpg</t>
  </si>
  <si>
    <t>Democracia es lo que diga yo. Sustituto politontólogo. Me financio a mí mismo. Veto periodistas. No entiendo de putas, sólo lo que escriben aquí sus hijos</t>
  </si>
  <si>
    <t>Victoria Kent 2</t>
  </si>
  <si>
    <t>https://okdiario.com/espana/2018/12/07/pedro-sanchez-reformar-constitucion-incluir-igualdad-hombres-mujeres-articulo-14-desde-hace-40-anos-3437620#.XAqK2KKZZwQ.twitter</t>
  </si>
  <si>
    <t>Optimista racional. Tabarnesa.</t>
  </si>
  <si>
    <t>Terra sen Amos</t>
  </si>
  <si>
    <t>O goberno español admite que debe reparar erros e inxustizas cometidos con Cuba. As infraccións españolas contra os DDH, as máis graves da UE, poderán ser sancionadas por Cuba no observatorio bilateral oferecido por Pedro Sánchez na súa visita a Habana.</t>
  </si>
  <si>
    <t>http://www.terrasenamos.org/o-governo-espanol-admite-a-necesidade-de-reparar-erros-e-inxustizas-graves-cometidas-contra-cuba/#more-4082</t>
  </si>
  <si>
    <t>Libre Pensamiento</t>
  </si>
  <si>
    <t>Cuarenta años de franquismo, ¿alguna vez te has preguntado por qué sucedió?, por las actitudes que estos últimos días están tomando líderes de la izquierda. Susana Díaz, Pablo Iglesias, Pedro Sánchez, etcétera, ellos son los responsables.</t>
  </si>
  <si>
    <t>España es una gran nación, no rompamos lo que hemos conseguido estos últimos 40 años.</t>
  </si>
  <si>
    <t>...ya es noticia!</t>
  </si>
  <si>
    <t>https://pbs.twimg.com/media/Dt0nP5AXgAApiXb.jpg</t>
  </si>
  <si>
    <t>Noticias interesantes y sin duda valiosas.</t>
  </si>
  <si>
    <t>EP | España</t>
  </si>
  <si>
    <t>►► El bombazo que lanzó Pedro Sánchez sobre las elecciones generales</t>
  </si>
  <si>
    <t>https://pbs.twimg.com/media/Dt0nPGYW0AEtGA9.jpg</t>
  </si>
  <si>
    <t>Noticias de España y el Mundo en Español. Cadena de Noticias @EP_Mundo</t>
  </si>
  <si>
    <t>http://epmundo.com/espana</t>
  </si>
  <si>
    <t>EP | Estados Unidos</t>
  </si>
  <si>
    <t>https://pbs.twimg.com/media/Dt0nOmKWsAIOUWQ.jpg</t>
  </si>
  <si>
    <t>Estados Unidos</t>
  </si>
  <si>
    <t>Noticias de Estados Unidos y el Mundo en Español. Cadena de Noticias @EP_Mundo</t>
  </si>
  <si>
    <t>http://bit.ly/EP_EEUU</t>
  </si>
  <si>
    <t>Teresa</t>
  </si>
  <si>
    <t>"No hay mejor remedio para el virus del desprecio a la Constitución q imaginar a Pablo Iglesias, Arnaldo Otegi, Pedro Sánchez y Oriol Junqueras en las sillas de Gabriel Cisneros, Miquel Roca, Gregorio Peces-Barba o Jordi Solé Tura en 1978." @crpandemonium</t>
  </si>
  <si>
    <t>https://www.elespanol.com/opinion/columnas/20181207/constitucion-quiere-podemos/358844117_13.amp.html?__twitter_impression=true</t>
  </si>
  <si>
    <t>La curiosidad me mata o me salva. Intentando practicar la ecuanimidad. Ocupo mi espacio, no restrinjo el del resto.</t>
  </si>
  <si>
    <t>observando el cambio</t>
  </si>
  <si>
    <t>Buscar la belleza en las cosas sencillas</t>
  </si>
  <si>
    <t>Pedro Sánchez o la máquina de generar votantes de VOX</t>
  </si>
  <si>
    <t>http://abcblogs.abc.es/cervilla/public/post/pedro-sanchez-o-la-maquina-de-crear-votantes-de-vox-18163.asp/</t>
  </si>
  <si>
    <t>@cap.rovira</t>
  </si>
  <si>
    <t>EL GOBIERNO USURPADOR DEL DIOS-EMPERADOR PEDRO SÁNCHEZ, carga contra PP y Cs por "arrogarse el derecho a presidir la Junta"</t>
  </si>
  <si>
    <t>https://www.elconfidencial.com/espana/2018-12-07/gobierno-pp-ciudadanos-derecho-presidir-junta-de-andalucia_1692282/</t>
  </si>
  <si>
    <t>Rota, España</t>
  </si>
  <si>
    <t>🇪🇸 ♛ 🦉 ✞ 🔥 ⚓️ 🇻🇦 ن 🍷✍️ SIMPLICIUS SIMPLICISSIMUS ¡Absolutamente inofensivo! Carpetovetónico</t>
  </si>
  <si>
    <t>Jakerrmaster</t>
  </si>
  <si>
    <t>Rec-rec-rec-rec-rectificandus... el nuevo verbo inventado por los socialistas de Pedro Sánchez... RT @OndaCero_es: Ábalos matiza las palabras de Sánchez y dice que no hay ninguna propuesta para revisar la inviolabilidad del Rey</t>
  </si>
  <si>
    <t>https://twitter.com/ondacero_es/status/1069977469682364418
http://ondace.ro/efvav2</t>
  </si>
  <si>
    <t>CILU LINARES</t>
  </si>
  <si>
    <t>Desde Cilu Linares queremos dar nuestro más sentido pésame a la familia de Luís Pedro Sánchez Rodríguez. Presidente de Acil Cca Linares y muy querido por los linarenses. Dicen que en esta vida nadie es imprescindible... pero sin duda serás difícil de reemplazar. #DEP</t>
  </si>
  <si>
    <t>https://pbs.twimg.com/media/Dt0lCAhX4AAPZR-.jpg</t>
  </si>
  <si>
    <t>CILU #Linares. Con esfuerzo e ilusión vamos a cambiar esto. #CILUporLinares 👤https://www.facebook.com/CILULinares/ http://instagram.com/cilulinaressi3</t>
  </si>
  <si>
    <t>http://cilus.eu</t>
  </si>
  <si>
    <t>https://pbs.twimg.com/media/Dt0k__PWsAA2LJc.jpg</t>
  </si>
  <si>
    <t>►► ¿Descontentos? Así recibieron a Pedro Sánchez en el Congreso (Video)</t>
  </si>
  <si>
    <t>http://epmundo.com/2018/descontentos-asi-recibieron-a-pedro-sanchez-en-el-congreso-video/?utm_source=twitter&amp;utm_medium=social&amp;utm_campaign=ReviveOldPost</t>
  </si>
  <si>
    <t>https://pbs.twimg.com/media/Dt0k_m4XcAEJc_q.jpg</t>
  </si>
  <si>
    <t>Famélica legión 🔻🌍</t>
  </si>
  <si>
    <t>Pedro Sánchez estuvo en la reunión que cerró la reforma del artículo 135 de la Constitución y votó a favor de la misma ➡️   #FelizFinde</t>
  </si>
  <si>
    <t>http://www.lasexta.com/noticias/economia/pedro-sanchez-estuvo-reunion-que-cerro-reforma-articulo-135-constitucion_201411255725a1424beb28d446019834.html</t>
  </si>
  <si>
    <t>pic.twitter.com/2pJ67KXIgj</t>
  </si>
  <si>
    <t>¿Que los trabajadores deben pagar la crisis de banqueros y especuladores con recortes en educación, sanidad y servicios sociales? ¡FUERA DE AQUÍ FACHA INFAME! 😠</t>
  </si>
  <si>
    <t>https://www.youtube.com/channel/UCzxgc4H0oHpD_o05R7wmEAA</t>
  </si>
  <si>
    <t>Congreso</t>
  </si>
  <si>
    <t>El presidente del Gobierno, Pedro Sánchez, comparece el miércoles en #Pleno para informar sobre Cataluña y las decisiones del Consejo Europeo extraordinario para tratar el Brexit. Más sobre la actividad legislativa de la próxima semana, en #NdP 📝</t>
  </si>
  <si>
    <t>http://www.congreso.es/portal/page/portal/Congreso/Congreso/SalaPrensa/NotPre?_piref73_7706063_73_1337373_1337373.next_page=/wc/detalleNotaSalaPrensa&amp;idNotaSalaPrensa=31710&amp;anyo=2018&amp;mes=12&amp;pagina=1&amp;mostrarvolver=S&amp;movil=null</t>
  </si>
  <si>
    <t>https://pbs.twimg.com/media/Dt0i7jZW0AA63I-.jpg</t>
  </si>
  <si>
    <t>Perfil institucional del Congreso de los Diputados. También en 📸 http://Instagram.com/congreso_diputados y 📣 http://facebook.com/CongresodelosDiputados</t>
  </si>
  <si>
    <t>http://www.congreso.es</t>
  </si>
  <si>
    <t>Linares28.es</t>
  </si>
  <si>
    <t>Conmoción en Linares por el fallecimiento de Luis Pedro Sánchez</t>
  </si>
  <si>
    <t>https://ift.tt/2E9c8L0</t>
  </si>
  <si>
    <t>Linares28.es es el Portal y Diario Digital líder indiscutible de la ciudad de Linares y uno de los medios digitales de referencia en Andalucía.</t>
  </si>
  <si>
    <t>http://www.linares28.es</t>
  </si>
  <si>
    <t>https://pbs.twimg.com/media/Dt0daNtX4AIaro2.jpg</t>
  </si>
  <si>
    <t>Manuel Zahera</t>
  </si>
  <si>
    <t>Aficionado a saber más sobre innovación</t>
  </si>
  <si>
    <t>Alguien se acuerda del Francotirador cinturo negro 5° dan que quería matar a Pedro Sánchez con un shuriken ninja?</t>
  </si>
  <si>
    <t>Y PEDRO SANCHEZ !!! sŏnandose los mocos !!! RT @cmgorriaran: El racista Torra exige impunidad policial para sus “antifascistas”. A los españoles se les debe poder agredir sin problemas. Qué será lo próximo, una versión catalana de la Noche de los Cristales Rotos?</t>
  </si>
  <si>
    <t>https://twitter.com/cmgorriaran/status/1071047171657658368</t>
  </si>
  <si>
    <t>LA SOPA DIGITAL</t>
  </si>
  <si>
    <t>https://pbs.twimg.com/media/Dt0jDTsXQAApLxM.jpg</t>
  </si>
  <si>
    <t>Reseñamos información interesante, acontecimientos de último minuto y una pizca de noticias con gran sabor.</t>
  </si>
  <si>
    <t>Gerardo P. Garcia</t>
  </si>
  <si>
    <t>http://dlvr.it/Qt40dx</t>
  </si>
  <si>
    <t>https://pbs.twimg.com/media/Dt0it6CVYAUMUNn.jpg</t>
  </si>
  <si>
    <t>León, Guanajuato, MX</t>
  </si>
  <si>
    <t>Soy un individuo que creció dentro de la cultura Pop y el Rock de los 80´s y 90´s y próximamente viviendo en Playa del Carmen, Quintana Roo.</t>
  </si>
  <si>
    <t>Rubén LM</t>
  </si>
  <si>
    <t>http://www.travel-leon.net/</t>
  </si>
  <si>
    <t>Conmoción en Linares por el fallecimiento de Luis Pedro Sánchez  #linares #jaen</t>
  </si>
  <si>
    <t>Nacer, vivir, morir, mi estado actual es sobrevivir con humor, si es posible. Sin acritud y con critica.</t>
  </si>
  <si>
    <t>https://goo.gl/fb/B3AgP8</t>
  </si>
  <si>
    <t>Fernando M. Gracia  🇪🇸</t>
  </si>
  <si>
    <t>https://okdiario.com/espana/2018/12/07/han-pasado-85-dias-demanda-pedro-sanchez-sigue-sin-llegar-3437752#.XAqE8GwkkRk.facebook</t>
  </si>
  <si>
    <t>Granada, Andalucía, España, Eu</t>
  </si>
  <si>
    <t>Ex-político amateur. Músico, profesor profesional, informático, historiófilo, lector compulsivo, cinéfilo, proy. de escritor, abanderado de 🇪🇸 y E. de Tabarnia.</t>
  </si>
  <si>
    <t>http://diariomyr.com</t>
  </si>
  <si>
    <t>https://pbs.twimg.com/media/Dt0ieXSWsAAiM36.jpg</t>
  </si>
  <si>
    <t>Giliprogre</t>
  </si>
  <si>
    <t>Pedro Sánchez pide incluir en la Constitución la igualdad entre hombres y mujeres. Estooo... Pedro... A ver cómo te digo esto:</t>
  </si>
  <si>
    <t>https://pbs.twimg.com/media/Dt0heN5WkAA28kw.jpg</t>
  </si>
  <si>
    <t>Progre, chachiguay, revolucionario... No a la dictadura de los votos, sí a la democracia de las masas. Si no piensas como yo, eres un facha.</t>
  </si>
  <si>
    <t>https://giliprogre.wordpress.com/</t>
  </si>
  <si>
    <t>laSexta</t>
  </si>
  <si>
    <t>El presidente del Gobierno, presente</t>
  </si>
  <si>
    <t>http://atres.red/h11r3</t>
  </si>
  <si>
    <t>Todo el contenido de laSexta en nuestro perfil, en http://laSexta.com y en http://facebook.com/laSexta</t>
  </si>
  <si>
    <t>http://www.lasexta.com</t>
  </si>
  <si>
    <t>Zarautz</t>
  </si>
  <si>
    <t>Marianela Rodríguez</t>
  </si>
  <si>
    <t>Él Pedro Sanchez Castejon RT @MariaCanteras: @okdiario @sanchezcastejon Y teniendo un presidente del gobierno q no se sabe la Constitución ...quién tiene el problema él o nosotros ?</t>
  </si>
  <si>
    <t>https://twitter.com/MariaCanteras/status/1070989157512699904</t>
  </si>
  <si>
    <t xml:space="preserve"> Zarautz Gipuzkoa.España</t>
  </si>
  <si>
    <t>Libertad. La VERDAD no se alcanza por mayoría. Dios principio y fundamento de mi vida, la vida el primer derecho.</t>
  </si>
  <si>
    <t>http://dlvr.it/Qt3ylW</t>
  </si>
  <si>
    <t>https://pbs.twimg.com/media/Dt0gZWCVAAAsMka.jpg</t>
  </si>
  <si>
    <t>Dr. Mc Menri</t>
  </si>
  <si>
    <t>ELECCIONES YA, SE PERCIBE QUE LA EXTREMA IZQUIERDA, A LA QUE SE HA INCORPORADO YA LOS DE LA MONCLOA, PRETENDEN AMPLIAR EL GOLPE DE ESTADO DE CATALUÑA A TODO EL ESTADO ESPAÑOL. PEDRO SANCHEZ Y SU GRUPO SE QUITAN LA CARETA DE "DEMÓCRATA" E INICIAN EL GRAN GOLPE A ESPAÑA. RT @DaniPintoB: Violencia extrema alentada y consentida por PSOE, Podemos y partidos golpistas contra los actos de ayer de @VOX_es en Gerona y Tarrasa. ¡¡Y los medios de comunicación los denominan antifascistas!!</t>
  </si>
  <si>
    <t>MEDICO CUBANO. DEFENSOR DE LOS DDHH. EXPRESO DE CONCIENCIA DEL COMUNISMO CASTRÍSTA,1997. DESTERRADO A ESPAÑA EN1998. CIUDADANO CUBANO-ESPAÑOL Y DEL MUNDO.</t>
  </si>
  <si>
    <t>El CIS entra en las apuestas deportivas y pronostica que el Boca-River lo ganará Pedro Sánchez</t>
  </si>
  <si>
    <t>El presidente español Pedro Sánchez asistirá a la final de la Copa Libertadores</t>
  </si>
  <si>
    <t>https://www.cordobatimes.com/mundo/2018/12/07/el-presidente-espanol-pedro-sanchez-asistira-a-la-final-de-la-copa-libertadores/</t>
  </si>
  <si>
    <t>Kino 🏳️‍🌈</t>
  </si>
  <si>
    <t>El cinismo del PP es insoportable. Quieren gobernar Andalucía teniendo menos apoyos que Pedro Sánchez en el Congreso. Pero adivinen cual es la fórmula decente y cuál no: RT @PPopular: ▶ Un Gobierno con 84 escaños que no puede aprobar los presupuestos, ni las leyes, incapaz de convalidar Reales Derechos ¿Es normal que venga por segunda vez a proponer una reforma Constitucional?</t>
  </si>
  <si>
    <t>https://twitter.com/ppopular/status/1071025792270786563</t>
  </si>
  <si>
    <t>https://pbs.twimg.com/media/Dt0MRoRU0AA5QPZ.jpg</t>
  </si>
  <si>
    <t>Puerto Real, España</t>
  </si>
  <si>
    <t>Nvl 31. L[G]TB. TV fan. Técnico en Emergencias Sanitarias. Luchando contra injusticias varias.</t>
  </si>
  <si>
    <t>Enrique Corbella 🏀</t>
  </si>
  <si>
    <t>Pedro Sánchez, que estará en el palco del Bernabéu en la Final de la #Libertadores, en 2015 : "No iría al palco del Bernabéu si me invitan. Lo declinaría"  vía @MarcaBasket</t>
  </si>
  <si>
    <t>http://www.marca.com/2015/11/24/baloncesto/acb/1448340690.html?cid=SMBOSO34503&amp;s_kw=Twitter&amp;t=1544192170</t>
  </si>
  <si>
    <t>Región de Murcia, España</t>
  </si>
  <si>
    <t>https://pbs.twimg.com/media/Dt0fCfLXcAI-o_f.jpg</t>
  </si>
  <si>
    <t>San Lorenzo de El Escorial</t>
  </si>
  <si>
    <t>En http://Marca.com. Internet es el pasado. Creo en el #infotainment.</t>
  </si>
  <si>
    <t>http://www.marca.com/baloncesto/nba.html</t>
  </si>
  <si>
    <t>Le gusta todos los Reproches que le hacemos todos los Españoles Pedro Sánchez Jajajaja pues mira AJO Y AGUA Pedro Sánchez. RT @RafaelFresmel: Sr. Presidente @sanchezcastejon como es posible que usted diga una cosa y despues haga exactamente lo mismo que criticaba cuando era de la oposición?</t>
  </si>
  <si>
    <t>https://twitter.com/RafaelFresmel/status/1070972242757148673</t>
  </si>
  <si>
    <t>https://pbs.twimg.com/media/DtzbkWyWoAAgWZj.jpg</t>
  </si>
  <si>
    <t>Juliette</t>
  </si>
  <si>
    <t>Como pedro Sánchez siga ignorando el problema que hay en Cataluña para seguir disfrutando de su sillón acabará pasando una desgracia, la gente está al límite! RT @InesArrimadas: Inadmisible. Después de las tremendas imágenes de ayer de los violentos CDR a los que anima a “apretar”, a Torra solo se le ocurre criminalizar e impedir a los Mossos que realicen su trabajo en condiciones. Sánchez deja que Cataluña sea un territorio sin ley en manos de Torra</t>
  </si>
  <si>
    <t>https://twitter.com/InesArrimadas/status/1071004220751560704
https://twitter.com/LaVanguardia/status/1070962095620018176</t>
  </si>
  <si>
    <t>Nacida en Francia llevo en Cataluña España desde 1980 dos hijos</t>
  </si>
  <si>
    <t>CarmenDeLunes</t>
  </si>
  <si>
    <t>Unos putos presupuestos que permitirán a Pedro Sánchez ocupar la Moncloa 3 cochinos días más, condenan a la mitad de catalanes a vivir indefensos. #Mossos</t>
  </si>
  <si>
    <t>Solsona, España</t>
  </si>
  <si>
    <t>Libre, liberal y feliz. He pasado de luchar contra los indepes a reírme de ellos. #NoNosCallarán #NoEstoySola</t>
  </si>
  <si>
    <t>El Quincenal</t>
  </si>
  <si>
    <t>VÍDEO📽️Presentados los actos 200 aniversario Fund Hospital Jesús Nazareno Vva de Córdoba. Han intervenido: Dolores Sánchez, alcaldesa Vva de Córdoba, Pedro Romero, secretario patronato, Antonio Tejero, párroco S Miguel y Mari Paula Luna, directora Hospital</t>
  </si>
  <si>
    <t>https://www.facebook.com/elquincenal.delospedroches/videos/2731545837069516/?__xts__[0]=68.ARDAIH4j2cYvwth9XnD3uUygUmLsfUBbsGpyrQ3jJU5DaKnJh8RCGmg8lukiOqpjoC1JzmhckIoiQnxZQexffEwsWEqCzVvStechsnb4d-X2Bm64qi7oh-Ku8zZc6FYh5L5BQiHFFYHu8uxXklNmT1DYYZOfwZ4SstFugPLVhbugLTb3eFaOyb1EHB8-yMA77h258vlLTdll_xX70QUCUs1SmfNiguyBFSjVkiZvPMonfUAfokwYFjq-B9coExDpLSpswKThaqgI0C_HgQZG3wu2gwAIAHkQbt--b7iEUlfSeT2XKkfbmD2frtiO7uNrgIyo76JoIEQh23eU_pERaOpzbswhBNxUOBBJVw&amp;__tn__=-R</t>
  </si>
  <si>
    <t>Córdoba, España</t>
  </si>
  <si>
    <t>La Guía Cultural y de Ocio y las noticias de Los Pedroches. 26.000 Revistas mensuales. 150.000 visitas mensuales en web. 18.210 seguidores en facebook</t>
  </si>
  <si>
    <t>http://elquincenaldelospedroches.es</t>
  </si>
  <si>
    <t>http://ver.abc.es/77ui01</t>
  </si>
  <si>
    <t>Yolanda Couceiro</t>
  </si>
  <si>
    <t>PERIODISTA | LIBERTARIAN | PDTA. @espanaylibertad | CUENTO COSAS EN @cadena_iberica y @LaTribunadelPV</t>
  </si>
  <si>
    <t>http://www.yolanda.info</t>
  </si>
  <si>
    <t>laSexta Noticias</t>
  </si>
  <si>
    <t>El presidente del Gobierno verá en primera persona el River Plate-Boca Juniors en el Santiago Bernabéu</t>
  </si>
  <si>
    <t>El twitter de laSexta | Noticias. Te contamos todo lo que ocurre en el momento que ocurre.</t>
  </si>
  <si>
    <t>http://www.lasexta.com/noticias/</t>
  </si>
  <si>
    <t>¿Qué tiene Pedro Sánchez contra su suegro? El PSOE propone multar a los clientes de la prostitución -</t>
  </si>
  <si>
    <t>https://noticierouniversal.com/actualidad/que-tiene-pedro-sanchez-contra-su-suegro-el-psoe-propone-multar-a-los-clientes-de-la-prostitucion/</t>
  </si>
  <si>
    <t>Eurosport.es</t>
  </si>
  <si>
    <t>⚽ El presidente del Gobierno Pedro @sanchezcastejon asistirá a la final de la Copa @Libertadores en el Bernabéu ⚽</t>
  </si>
  <si>
    <t>https://www.eurosport.es/futbol/pedro-sanchez-asistira-a-la-final-de-la-copa-libertadores-en-el-bernabeu_sto7041824/story.shtml</t>
  </si>
  <si>
    <t>Cuenta oficial de Eurosport España http://facebook.com/EurosportES #compartemipasión</t>
  </si>
  <si>
    <t>http://www.eurosport.es/</t>
  </si>
  <si>
    <t>Jose Conejero López</t>
  </si>
  <si>
    <t>Fue capricho de Florentino en su obsesión de ser protagonista de todo? Pedro Sánchez para agradar?? Que alguien explique cuanto costará todo el dispositivo y qué beneficios tendremos en nuestro país. Y sobre todo que sepamos el nombre del responsable en caso de que pase algo. RT @JoselillConan: Y digo yo. El Boca - River ha provocado el mayor dispositivo policial de la historia de nuestro deporte, catalogado como extremadamente peligroso y que además se celebra en un puente que llena Madrid y pone en peligro a muchas personas. Y quién paga estos gastos?? Por qué??</t>
  </si>
  <si>
    <t>https://twitter.com/JoselillConan/status/1071043588279189506</t>
  </si>
  <si>
    <t>kfedigital</t>
  </si>
  <si>
    <t>https://kfedigital.net/mundo/politica/el-presidente-espanol-pedro-sanchez-asistira-a-la-final-de-la-copa-libertadores-en-el-santiago-bernabeu/</t>
  </si>
  <si>
    <t>https://pbs.twimg.com/media/Dt0dfn3V4AEzycN.jpg</t>
  </si>
  <si>
    <t>Medios de Comunicación Global Instagram. @kfedigitalweb</t>
  </si>
  <si>
    <t>http://www.kfedigital.net</t>
  </si>
  <si>
    <t>Rufián vuelve a la sesión de control tras su expulsión y preguntará a Sánchez si hará algo frente a la "ultraderecha"</t>
  </si>
  <si>
    <t>https://pbs.twimg.com/media/Dt0dU3xWkAApD_H.jpg</t>
  </si>
  <si>
    <t>MF DOOM</t>
  </si>
  <si>
    <t>Que asco Le tengo a Pedro Sánchez y su manipulación en los medios</t>
  </si>
  <si>
    <t>tengo pánico a reconocerme lo reconzoco</t>
  </si>
  <si>
    <t>Los Deportes de las 3</t>
  </si>
  <si>
    <t>La opción de Julio Algar como director deportivo del @realmurciacfsad gana enteros, con Pedro Cordero como finalista por el puesto. Óscar Sánchez pierde fuerza para el cargo</t>
  </si>
  <si>
    <t>La actualidad del deporte murciano, desde otro punto de vista. De lunes a viernes de 15 a 16 horas en el 98.8 FM, en internet y a través de podcast.</t>
  </si>
  <si>
    <t>https://www.ivoox.com/escuchar-audios-deportes-3_al_12862377_1.html</t>
  </si>
  <si>
    <t>Los de siempre!!!! NOSOTROS quien se beneficia??? FLORENTINO RUBIALES Y PEDRO SANCHEZ... vamos los de arriba y los españoles como gilipollas a pagar con nuestros impuestos!!! YA BASTA!!! @sanchezcastejon RT @telecincoes: Madrid se blinda para el Boca-River pero, ¿esto quién lo paga?</t>
  </si>
  <si>
    <t>https://twitter.com/telecincoes/status/1071026287790178304
http://bit.ly/2QH927A</t>
  </si>
  <si>
    <t>https://pbs.twimg.com/media/Dt0Cn0xWsAE1geC.jpg</t>
  </si>
  <si>
    <t>https://okdiario.com/espana/2018/12/07/reina-letizia-indignada-begona-gomez-que-quiere-usurpar-funciones-primera-dama-3415537</t>
  </si>
  <si>
    <t>😤 @pablocasado_ exige a Pedro @sanchezcastejon frenar a los violentos CDR con otro 155</t>
  </si>
  <si>
    <t>https://okdiario.com/general/2018/12/07/casado-exige-sanchez-frenar-violentos-cdr-otro-155-3439470?utm_campaign=ok&amp;utm_medium=Social&amp;utm_source=Twitter#Echobox=1544190948</t>
  </si>
  <si>
    <t>Jaime Rdguez. Antu.</t>
  </si>
  <si>
    <t>Me da que hemos pagado todos los españoles 650.000 euros porque el doctor vaya al fútbol ¿Irá en Falcon?</t>
  </si>
  <si>
    <t>https://www.abc.es/deportes/futbol/abci-pedro-sanchez-asistira-final-bernabeu-201812071351_noticia.html</t>
  </si>
  <si>
    <t>Español cabreado y politicamente incorrecto. Y ahora Facha.....</t>
  </si>
  <si>
    <t>Catalunya Ràdio</t>
  </si>
  <si>
    <t>🔊 Pablo Casado reclama a Pedro Sánchez que torni a aplicar el 155 a Catalunya</t>
  </si>
  <si>
    <t>https://bit.ly/2B1NyrU</t>
  </si>
  <si>
    <t>Twitter oficial de la ràdio nacional de Catalunya. #CatRàdioEsMou #CR35</t>
  </si>
  <si>
    <t>http://www.catradio.cat</t>
  </si>
  <si>
    <t>Cofradía Santo Entierro Linares</t>
  </si>
  <si>
    <t>Desde estas líneas nos unimos al dolor de familiares y amigos del fallecido Luis Pedro Sánchez. El que fuera presidente durante catorce años de ACIL, nos acompañó siempre en nuestra estación de penitencia. Que...</t>
  </si>
  <si>
    <t>https://www.facebook.com/201113023570761/posts/783434332005291/</t>
  </si>
  <si>
    <t>Real, Inmemorial e Ilustre Cofradía del Santo Entierro de Cristo, Ntra. Sra. de los Dolores en su Soledad, Stma. Virgen de las Angustias y Santa Vera Cruz</t>
  </si>
  <si>
    <t>https://realcofradiasantoentierro.blogspot.com.es/</t>
  </si>
  <si>
    <t>guadalupe priego</t>
  </si>
  <si>
    <t>CORDOBA ESPAÑA</t>
  </si>
  <si>
    <t>MUJER 44 AÑOS, ENFERMERA, AMANTE DE LOS PERROS, EL REY, EL GALGO.</t>
  </si>
  <si>
    <t>ABC. "Pedro Sánchez gana tiempo para no acudir a las urnas y lo fía al PDECat"</t>
  </si>
  <si>
    <t>https://bit.ly/2zOf4cP</t>
  </si>
  <si>
    <t>Israel</t>
  </si>
  <si>
    <t>¿Se ha leído Sánchez la Constitución?: pide reformarla para incluir la igualdad entre hombres y mujeres  vía @libertaddigital</t>
  </si>
  <si>
    <t>Ingeniero en Informática, casado, padre (x2) y profesor de matemáticas en @El_Romeral. Miembro de @JuanDeMariana, @misesorgespanol y detrás de @eclosionliberal</t>
  </si>
  <si>
    <t>https://goo.gl/EhVPjq</t>
  </si>
  <si>
    <t>Cafecito News!</t>
  </si>
  <si>
    <t>https://pbs.twimg.com/media/Dt0atEAWwAIsUxo.jpg</t>
  </si>
  <si>
    <t>Cultura, arte y comunicación con el acompañante perfecto, un café.</t>
  </si>
  <si>
    <t>https://pbs.twimg.com/media/Dt0YQW6WoAA5fCP.jpg</t>
  </si>
  <si>
    <t>Champions Total</t>
  </si>
  <si>
    <t>Toda la información de la Champions League y la última hora de la actualidad deportiva.</t>
  </si>
  <si>
    <t>http://championstotal.com</t>
  </si>
  <si>
    <t>TROMPETA..7⏳</t>
  </si>
  <si>
    <t>Abucheos a Pedro Sánchez en los actos de la Constitución</t>
  </si>
  <si>
    <t>https://www.youtube.com/attribution_link?a=VTGHpY9lp7g&amp;u=%2Fwatch%3Fv%3DfNkyCYCTeWE%26feature%3Dshare</t>
  </si>
  <si>
    <t xml:space="preserve">Barcelona. España </t>
  </si>
  <si>
    <t>Nunca lleves tus mejores pantalones cuando salgas a luchar por la paz y la libertad</t>
  </si>
  <si>
    <t>Berta Márquez👩🏻‍💻</t>
  </si>
  <si>
    <t>Pedro Sánchez allí donde va</t>
  </si>
  <si>
    <t>pic.twitter.com/1VUB9J2ugj</t>
  </si>
  <si>
    <t>"Debemos dejar de preocuparnos tanto y ocuparnos más". Comunicación política. Amante de la F1. Cuando apago la televisión, enciendo un libro</t>
  </si>
  <si>
    <t>EL MAS "" ALTO RESPNSABLE"" DE LA MIERDA QUE LLENA LAS CALLES EN CATALUŃA !!! es Pedro Sanchez con su "" erratica politica permisiva y sin estrategia alguna de gobierno!!!</t>
  </si>
  <si>
    <t>Jimenez79 💓 🇪🇸</t>
  </si>
  <si>
    <t>Acabo de enterarme que Pedro Sánchez asistirá al Bernabéu ......cojera el avión??? Helicóptero???? O lo más complicado vendrá en coche???? @sanchezcastejon @jordi_canyas</t>
  </si>
  <si>
    <t>ManuelCalvente</t>
  </si>
  <si>
    <t>Abucheos y gritos de 'fuera, fuera' a Pedro Sánchez a su llegada al Congreso  vía @OndaCero_es</t>
  </si>
  <si>
    <t>http://j.mp/2EiWU75</t>
  </si>
  <si>
    <t>Sevilla,España</t>
  </si>
  <si>
    <t>No vivas para que tu presencia se note sino para que tu ausencia se sienta.</t>
  </si>
  <si>
    <t>Infobae América</t>
  </si>
  <si>
    <t>https://pbs.twimg.com/media/Dt0ZaAZW4AAx0Ne.jpg</t>
  </si>
  <si>
    <t>Las últimas noticias de Latinoamérica y del mundo. Todo el tiempo. WhatsApp: +1 786 328 2901 https://app.infobae.com/#america</t>
  </si>
  <si>
    <t>http://infobae.com/america</t>
  </si>
  <si>
    <t>José Castro</t>
  </si>
  <si>
    <t>Pedro Sánchez, el paso atrás de la izquierda. Artículo de @LuisAneiros  vía @nuevarevoluci0n</t>
  </si>
  <si>
    <t>https://nuevarevolucion.es/pedro-sanchez-el-paso-atras-de-la-izquierda/</t>
  </si>
  <si>
    <t>Hasta los cojones de la organización criminal: POLÍTICA-ECONÓMICA-MEDIÁTICA. Causantes de muchísimos males que ocurren en nuestras sociedades. MISERABLES-HDLGP.</t>
  </si>
  <si>
    <t>Uruguay al toque!</t>
  </si>
  <si>
    <t>https://www.uruguayaltoque.uy/el-presidente-espanol-pedro-sanchez-asistira-a-la-final-de-la-copa-libertadores-en-el-santiago-bernabeu/</t>
  </si>
  <si>
    <t>https://pbs.twimg.com/media/Dt0ZGvGV4AAyX0k.jpg</t>
  </si>
  <si>
    <t>Salto, Uruguay</t>
  </si>
  <si>
    <t>noticias interactivas para todo el país!</t>
  </si>
  <si>
    <t>http://www.uruguayaltoque.uy</t>
  </si>
  <si>
    <t>Le pedimos a Pedro Sánchez : Que comvoque elecciones generales YA y no té escondas tras ésos muros ni tras las faldas de tus Cuncuvinas. RT @mcyava: La que nos liado el populista inepto @sanchezcastejon Y a dar la cara los de siempre. #EleccionesGeneralesYa La Policía Nacional quiere el apoyo del ejército para garantizar la seguridad en el River-Boca #EquiparacionYa #GrupoB_ReclasificacionYa @jusapol</t>
  </si>
  <si>
    <t>https://twitter.com/mcyava/status/1071027761605722112
https://okdiario.com/deportes/futbol/2018/12/07/policia-nacional-quiere-apoyo-del-ejercito-garantizar-seguridad-river-boca-3429624#.XApvQzpzESE.twitter</t>
  </si>
  <si>
    <t>José M Trigo</t>
  </si>
  <si>
    <t>Y qué hace Pedro Sánchez en la cama con Pablo Iglesias? El PSOE con inconstitucionalistas!! El Gobierno pide a PP y a Ciudadanos que no hagan de Andalucía “la cuna de la ultraderecha”</t>
  </si>
  <si>
    <t>Cascais, Portugal</t>
  </si>
  <si>
    <t>Viver e aprender</t>
  </si>
  <si>
    <t>http://www.premiumrate.pt</t>
  </si>
  <si>
    <t>Jajajaja té ha gustado la Respuesta ahora Pedro Sánchez " pues toma en todo tus hocicos Jajajaja AJO Y AGUA ! Estás desquiciado ahora no duerme Tomás ansiolíticos para dormir ; pobre Inepto. RT @TeoGarciaEgea: Pedro Sánchez es un crack haciendo predicciones.</t>
  </si>
  <si>
    <t>https://twitter.com/TeoGarciaEgea/status/1069709119664390144</t>
  </si>
  <si>
    <t>pic.twitter.com/c9He0WTj75</t>
  </si>
  <si>
    <t>Inma</t>
  </si>
  <si>
    <t>Pedro Sánchez Castejón: Ilegalizar UPodemos - ¡Firma la petición!  vía @change_es</t>
  </si>
  <si>
    <t>http://chng.it/cXYwvdXW</t>
  </si>
  <si>
    <t>🇪🇸🦇Ser Española,un Honor .🇪🇸🦇Ser Valenciana,Un Titulo 🇪🇸🦇Sentirse Valenciana un Orgullo ❤️💛❤️ MAS IMPACTA EL LOBO CALLADO QUE EL PERRO LADRANDO🇪🇸</t>
  </si>
  <si>
    <t>RCTM Linares</t>
  </si>
  <si>
    <t>Los miembros del Real Club de Tenis de Mesa de Linares queremos manifestar nuestro sentido pésame a la familia por la pérdida de Luis Pedro Sánchez, presidente de la Asociación de Comerciantes e Industriales de Linares (ACIL) . Descansa en paz amigo Wiki.</t>
  </si>
  <si>
    <t>Cuenta Oficial del Real Club Tenis de Mesa Linares</t>
  </si>
  <si>
    <t>https://pbs.twimg.com/media/Dt0W91gXcAENr-e.jpg</t>
  </si>
  <si>
    <t>marcos gomez gallego</t>
  </si>
  <si>
    <t>Pesos pesados del actual gobierno piden a Pedro Sánchez que convoque ya las elecciones</t>
  </si>
  <si>
    <t>https://www.diaribalear.es/pesos-pesados-del-actual-gobierno-piden-a-pedro-sanchez-que-convoque-ya-las-elecciones/</t>
  </si>
  <si>
    <t>Jubilado accidente laboral Afiliado del PP</t>
  </si>
  <si>
    <t>Hoy Honduras</t>
  </si>
  <si>
    <t>Pedro Sanchez, presidente del gobierno español (REUTERS/Sergio Perez) El presidente Pedro Sánchez asistirá este domingo...</t>
  </si>
  <si>
    <t>Honduras</t>
  </si>
  <si>
    <t>Instagram: hoyhonduras https://www.facebook.com/Hoy-Honduras-1155673084549257/</t>
  </si>
  <si>
    <t>http://www.hoyhonduras.news</t>
  </si>
  <si>
    <t>DeirdreTynan</t>
  </si>
  <si>
    <t>https://www.politico.eu/list/politico-28-class-of-2019-the-ranking/pedro-sanchez/</t>
  </si>
  <si>
    <t>http://www.paceglobalstrategies.com</t>
  </si>
  <si>
    <t>Infobae Venezuela</t>
  </si>
  <si>
    <t>http://bit.ly/2QI7TMU</t>
  </si>
  <si>
    <t>https://pbs.twimg.com/media/Dt0Vc0aU0AA2nXi.jpg</t>
  </si>
  <si>
    <t>Infobae salta la censura del régimen de Nicolás Maduro. Descarga nuestra app en Venezuela ↓</t>
  </si>
  <si>
    <t>https://play.google.com/store/apps/details?id=com.infobae.androidAR&amp;hl=es_419</t>
  </si>
  <si>
    <t>Nuevos Papeles</t>
  </si>
  <si>
    <t>pic.twitter.com/ibw26j7U4C</t>
  </si>
  <si>
    <t>Pedro Sánchez asistirá a la final de la Copa Libertadores  @sanchezcastejon #CopaLibertadores #Bernabeu 🇪🇸</t>
  </si>
  <si>
    <t>http://bit.ly/2BXqFYz</t>
  </si>
  <si>
    <t>https://pbs.twimg.com/media/Dt0VEcTXcAAMtGp.jpg</t>
  </si>
  <si>
    <t>Portal de noticias y contenidos exclusivos de política argentina, economía e internacionales.</t>
  </si>
  <si>
    <t>http://www.nuevospapeles.com/</t>
  </si>
  <si>
    <t>#Opinión Democracia fiscal, escribe Pedro Sánchez Rodríguez (@hastaelPeter)</t>
  </si>
  <si>
    <t>Huelva</t>
  </si>
  <si>
    <t>Pedro Sánchez asistirá a la final de la Copa Libertadores en el Bernabéu -</t>
  </si>
  <si>
    <t>https://noticierouniversal.com/actualidad/pedro-sanchez-asistira-a-la-final-de-la-copa-libertadores-en-el-bernabeu/</t>
  </si>
  <si>
    <t>frcub</t>
  </si>
  <si>
    <t>Ningún hombre es lo bastante bueno para gobernar a otros sin su consentimiento. (Abraham Lincoln)</t>
  </si>
  <si>
    <t>Sonridí</t>
  </si>
  <si>
    <t>Pedro Sánchez no ha llegado ni al artículo 14 leyendo la Constitución. A ver si sale pronto la peli 🤷🏻‍♀️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</si>
  <si>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Hago cosas de esports por el día y oposito por la noche.</t>
  </si>
  <si>
    <t>Linares Información</t>
  </si>
  <si>
    <t>Terrible noticia. DEP.</t>
  </si>
  <si>
    <t>http://www.linaresinformacion.com/texto-diario/mostrar/1274306/fallece-presidente-acil-luis-pedro-sanchez</t>
  </si>
  <si>
    <t>Diario digital de la ciudad de Linares. El original, el de siempre. Información hecha por periodistas. Contacta con nosotros en redaccion@linaresinformacion.es</t>
  </si>
  <si>
    <t>http://www.linaresinformacion.com</t>
  </si>
  <si>
    <t>Yoda Republicano</t>
  </si>
  <si>
    <t>Pedro Sánchez celebra la detención de uno de los autores de la matanza de Atocha: 'La democracia y la justicia siempre vencen a sus enemigos'  vía @laSextaTV</t>
  </si>
  <si>
    <t>http://j.mp/2RIBZgA</t>
  </si>
  <si>
    <t>Vitoria-Gasteiz, Euskadi</t>
  </si>
  <si>
    <t>“El miedo es el camino hacia el Lado Oscuro, el miedo lleva a la ira, la ira lleva al odio, el odio lleva al sufrimiento. Veo mucho miedo en ti.” ⛔️🚫MD🚫⛔️</t>
  </si>
  <si>
    <t>https://www.youtube.com/channel/UCY60GBj-H8SmayRG1UgDVWw</t>
  </si>
  <si>
    <t>NICO BRAVEZO🐍🗽⚖🇪🇺🇪🇸</t>
  </si>
  <si>
    <t>El populismo de Pedro Sánchez se extiende al sector energético- Libertad Digital | Versión Móvil (mobile)</t>
  </si>
  <si>
    <t>https://twitter.com/Gata1_C/status/1070791263534878727</t>
  </si>
  <si>
    <t>https://pbs.twimg.com/media/Dtw2-VSW0AESvq7.jpg</t>
  </si>
  <si>
    <t>República d los EEUU de Europa</t>
  </si>
  <si>
    <t>LIBERTAD INDIVIDUAL Y COLECTIVA/Liberal/Agnóstico/Separación de poderes/Mínimo Estado en gasto. Si mala es la Oligarquía, peores los políticos que la sostiene..</t>
  </si>
  <si>
    <t>"Pedro Sánchez quiere reformar la Constitución para incluir la igualdad entre hombres y mujeres"  Como si el art. 14 no lo dijera ya....Ay madre, este señor es Presidente del gobierno. Qué pena de @psoe!</t>
  </si>
  <si>
    <t>http://elDiario.es
http://bit.ly/2zKXTsy</t>
  </si>
  <si>
    <t>Miguel Berruezo</t>
  </si>
  <si>
    <t>Locutor-Animador-Comercial-Creativo de Radio y Tv.</t>
  </si>
  <si>
    <t>20minutos. "Abucheos a Pedro Sánchez a su llegada al Congreso y larga ovación a los Reyes"</t>
  </si>
  <si>
    <t>Que raro Pedro Sanchez y el PsoE reculando RT @meneame_net: Más votada 24h: El Gobierno recula y no retirará de la ley mordaza las multas por fotografiar a policías</t>
  </si>
  <si>
    <t>https://twitter.com/meneame_net/status/1070997106847027201
http://www.meneame.net/story/gobierno-recula-no-retirara-ley-mordaza-multas-fotografiar</t>
  </si>
  <si>
    <t>Extremadura Noticias</t>
  </si>
  <si>
    <t>El Gobierno destina 2.000 millones de euros para un plan de choque de empleo joven. El Ejecutivo de Pedro Sánchez pretende reducir el desempleo entre los menores de 30 años en dos años y a través de 50 medidas. #EXN</t>
  </si>
  <si>
    <t>pic.twitter.com/l6jH92KKbG</t>
  </si>
  <si>
    <t>Extremadura, España</t>
  </si>
  <si>
    <t>Servicios Informativos de Canal Extremadura. Lo que te interesa, donde te interesa.</t>
  </si>
  <si>
    <t>http://www.canalextremadura.es/noticias</t>
  </si>
  <si>
    <t>Daniel Ⓜ️oreno ®️guez.</t>
  </si>
  <si>
    <t>Desde el Partido Popular de Linares mostramos nuestro más sentido pésame por la pérdida de Luis Pedro Sánchez, presidente de la Asociación de Comerciantes e Industriales de Linares (ACIL) . Descanse en Paz.... RT @linarespp: Desde el Partido Popular de Linares mostramos nuestro más sentido pésame por la pérdida de Luis Pedro Sánchez, presidente de la Asociación de Comerciantes e Industriales de Linares (ACIL) . Descanse en Paz.</t>
  </si>
  <si>
    <t>https://mobile.twitter.com/linarespp/status/1071028931879419904</t>
  </si>
  <si>
    <t>Linares (Jaén)</t>
  </si>
  <si>
    <t>Perito de Asegurado👨‍💼, Investigador de Siniestros⚡️🔥. Afiliado y Secretario General del 🅿️🅿️ de #Linares. Ah! mi pasión es el #Trial en Bici 🚲</t>
  </si>
  <si>
    <t>https://m.facebook.com/dmrlinares/</t>
  </si>
  <si>
    <t>BetterCallZlatan</t>
  </si>
  <si>
    <t>La verdad es que desde hace años nos gobiernan inútiles. Se ve que Pedro Sánchez va por el artículo 13 y aún no ha llegado al 14.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</si>
  <si>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Los Ángeles</t>
  </si>
  <si>
    <t>||En proceso de periodista deportivo|| Sin fútbol la vida seria un error/ Futbolero, Cinéfilo, seriéfilo y amante de las batallas de rap. Muy polémico</t>
  </si>
  <si>
    <t>http://favstar.fm/users/Ibrahimovizismo</t>
  </si>
  <si>
    <t>Hispanidad</t>
  </si>
  <si>
    <t>Pedro Sánchez: los malos y los buenos</t>
  </si>
  <si>
    <t>https://www.hispanidad.com/cartas-al-director/pedro-sanchez-los-malos-y-los-buenos_12006057_102.html?utm_source=Twitter&amp;utm_medium=Social&amp;utm_content=Post</t>
  </si>
  <si>
    <t>Decano de la prensa digital española. Fundado el 20 de marzo de 1996</t>
  </si>
  <si>
    <t>http://www.hispanidad.com</t>
  </si>
  <si>
    <t>https://pbs.twimg.com/media/Dt0RFzdWoAAx7qb.jpg</t>
  </si>
  <si>
    <t>Onda Cero</t>
  </si>
  <si>
    <t>http://ondace.ro/akt3r2</t>
  </si>
  <si>
    <t>Onda Cero, 24 horas de información y entretenimiento. Te mereces esta radio. Tu #radio</t>
  </si>
  <si>
    <t>http://www.ondacero.es</t>
  </si>
  <si>
    <t>heraldodominicano</t>
  </si>
  <si>
    <t>Pedro Sánchez aleja la posibilidad de elecciones en marzo: “Seguiremos gobernando”</t>
  </si>
  <si>
    <t>https://goo.gl/fb/Amu66i</t>
  </si>
  <si>
    <t>Noticias de última hora sobre la actualidad en República Dominicana y Latinoamérica: política, economía, deportes, cultura, ciencia y tecnología.</t>
  </si>
  <si>
    <t>http://labuenafm.net/</t>
  </si>
  <si>
    <t>Noticias Puntual</t>
  </si>
  <si>
    <t>FÚTBOL LIBERTADORES - Pedro Sánchez asistirá a la final de la Copa Libertadores en el Bernabéu</t>
  </si>
  <si>
    <t>http://j.mp/2SzbVV3</t>
  </si>
  <si>
    <t>Acontecer mundial noticioso en un sólo sitio #NoticiasPuntual - Noticias al instante | contenidopuntual@gmail.com</t>
  </si>
  <si>
    <t>https://www.facebook.com/NoticiasPuntual</t>
  </si>
  <si>
    <t>Pedro Sánchez destina 2.000 millones de euros para intentar reducir el paro juvenil</t>
  </si>
  <si>
    <t>http://ww.cope.es/njcrc1</t>
  </si>
  <si>
    <t>Real Madrid Hoy</t>
  </si>
  <si>
    <t>ABC. Pedro Sánchez asistirá a la final en el Bernabéu</t>
  </si>
  <si>
    <t>RealMadridHoy muestra los titulares de última hora del Real Madrid. Vota los mejores titulares haciendo retweet.</t>
  </si>
  <si>
    <t>http://debaterm.com/ultima-hora</t>
  </si>
  <si>
    <t>laSexta|Deportes</t>
  </si>
  <si>
    <t>http://atres.red/h11r32</t>
  </si>
  <si>
    <t>Toda la información deportiva, en @laSextaTV. http://facebook.com/deportesLaSexta</t>
  </si>
  <si>
    <t>http://www.lasexta.com/noticias/deportes/</t>
  </si>
  <si>
    <t>Francisco d la Torre</t>
  </si>
  <si>
    <t>Recupero este artículo, que de verdad no escribo hoy aunque lo parezca: Las cuentas de Pedro Sánchez y la senda a ninguna parte  vía @elEconomistaes</t>
  </si>
  <si>
    <t>Madrid.</t>
  </si>
  <si>
    <t>Diputado de @ciudadanosCs . Miembro de la Ejecutiva nacional. Presidente de la Comisión de Presupuestos. Inspector de Hacienda. Autor de ¿Hacienda somos todos?</t>
  </si>
  <si>
    <t>http://www.eleconomista.es/autor/Francisco-de-la-Torre-Diaz</t>
  </si>
  <si>
    <t>veolinares</t>
  </si>
  <si>
    <t>COMUNICADO ASOCIACIÓN DE COMERCIANTES E INDUSTRIALES DE LINARES En el día de ayer falleció el que ha sido presidente de esta Asociación durante los últimos catorce años, D. Luis Pedro Sánchez Rodríguez. Desde...</t>
  </si>
  <si>
    <t>https://www.facebook.com/363646630420744/posts/1931116637007061/</t>
  </si>
  <si>
    <t>Noticias de Linares (Jaén)</t>
  </si>
  <si>
    <t>http://www.veolinares.com</t>
  </si>
  <si>
    <t>Pedro Sánchez asistirá a la final en el Bernabéu</t>
  </si>
  <si>
    <t>https://thenewsatyourfingertips.wordpress.com/2018/12/07/pedro-sanchez-asistira-a-la-final-en-el-bernabeu-2/</t>
  </si>
  <si>
    <t>https://pbs.twimg.com/media/Dt0Pql6V4AAANW-.jpg</t>
  </si>
  <si>
    <t>Viajando Perdido</t>
  </si>
  <si>
    <t>https://noticiasdedeportes595817580.wordpress.com/2018/12/07/pedro-sanchez-asistira-a-la-final-en-el-bernabeu/</t>
  </si>
  <si>
    <t>https://pbs.twimg.com/media/Dt0PTvBWoAAvNoJ.jpg</t>
  </si>
  <si>
    <t>http://tuwebpersonalizada.es/</t>
  </si>
  <si>
    <t>PP Linares</t>
  </si>
  <si>
    <t>Desde el Partido Popular de Linares mostramos nuestro más sentido pésame por la pérdida de Luis Pedro Sánchez, presidente de la Asociación de Comerciantes e Industriales de Linares (ACIL) . Descanse en Paz.</t>
  </si>
  <si>
    <t>Twitter oficial del Partido Popular de Linares</t>
  </si>
  <si>
    <t>Raúl Julio Bator</t>
  </si>
  <si>
    <t>Los socialistas navarros critican a UPN por cuestionar a Vox "sólo por el tema de las autonomías"  vía @navarra_com... pues vamos a criticar : Pedro Sánchez .. está gobernado entre otros a un partido como EH-Bildu, todos sabemos quienes son esta gente</t>
  </si>
  <si>
    <t>https://navarra.elespanol.com/articulo/politica/socialistas-navarros-critican-upn-cuestionar-vox-solo-tema-autonomias/20181207122231235069.html&amp;utm_source=social&amp;utm_medium=twitter&amp;utm_campaign=share_button</t>
  </si>
  <si>
    <t>Comunidad Foral de Navarra, España</t>
  </si>
  <si>
    <t>Perito Judicial Inmobiliario.Administrador de fincas .Gestor Técnico. Experto en Fiscalidad Inmobiliaria.</t>
  </si>
  <si>
    <t>Radio Unión Tenerife</t>
  </si>
  <si>
    <t>El 1,8% para 2019 son cinco décimas más que la previsión que contemplaba el Gobierno de Rajoy</t>
  </si>
  <si>
    <t>https://www.lavanguardia.com/economia/20181207/453403582708/deficit-gobierno-presupuestos-pedro-sanchez-consejo-de-ministros.html?utm_source=twitter_lv&amp;utm_medium=social</t>
  </si>
  <si>
    <t>Dani Plaza</t>
  </si>
  <si>
    <t>Lista con 20 convocados para mañana, tiene que haber dos descartes. Muy pendientes de David Simón, Vicente Gómez, Caballo, Pedro Sánchez y Somma, que durante la semana estuvieron renqueantes e incluso realizando ejercicios preventivos #DéporNumancia RT @RCDeportivo: Listaxe d #osnosos convocados para a 17ª xornada de @LaLiga. Mañá ás 13:00 h. en #ABANCARIAZOR, #DéporNumancia! #DaleDÉ</t>
  </si>
  <si>
    <t>https://twitter.com/RCDeportivo/status/1071019955888553984</t>
  </si>
  <si>
    <t>https://pbs.twimg.com/media/Dt0G-U4WwAIl0jS.jpg</t>
  </si>
  <si>
    <t>Leganés/A Coruña</t>
  </si>
  <si>
    <t>Como fui incapaz de dominar la pelota, me puse a escribir sobre ella. Periodista (?). Aprendiendo en @escuelaCES y colaborando en @MENziges. Hakuna matata</t>
  </si>
  <si>
    <t>https://www.linkedin.com/in/daniel-plaza-acosta-114a0513a/</t>
  </si>
  <si>
    <t>Luis del Pino</t>
  </si>
  <si>
    <t>Pedro Sánchez sigue la estela de Pablo Iglesias y trata de señalar a un enemigo exterior para cortar las críticas internas #nihilnovumsubsole</t>
  </si>
  <si>
    <t>Director del programa de tertulia política Sin Complejos en http://esradio.libertaddigital.com/</t>
  </si>
  <si>
    <t>http://blogs.libertaddigital.com/enigmas-del-11-m/</t>
  </si>
  <si>
    <t>María Quílez</t>
  </si>
  <si>
    <t>Pedro Sánchez pide reformar la Constitución para incluir en ella la igualdad entre hombres y mujeres. Entonces, ¿el artículo 14 de nuestra CE qué es? Qué lástima tener un presidente que desconoce nuestra Constitución.</t>
  </si>
  <si>
    <t>https://pbs.twimg.com/media/Dt0OZLtX4AARq68.jpg</t>
  </si>
  <si>
    <t>Graduada en Periodismo. Máster en Comunicación Política y Marketing Político en UAH. Dos pasiones: Comunicación y Política. En el centro está la virtud.</t>
  </si>
  <si>
    <t>http://instagram.com/maria_quilezv/</t>
  </si>
  <si>
    <t>Antonio FaGa</t>
  </si>
  <si>
    <t>Bastaría con que, a la cabeza del dispositivo de bienvenida, fuera Pedro Sánchez RT @eduardoinda: #EXCLUSIVA de @okdiario | La @policia quiere el apoyo del ejército para garantizar la seguridad en el River – Boca #CopaLibertadores</t>
  </si>
  <si>
    <t>https://twitter.com/eduardoinda/status/1071026990847877120
https://okdiario.com/deportes/futbol/2018/12/07/policia-nacional-quiere-apoyo-del-ejercito-garantizar-seguridad-river-boca-3429624?utm_campaign=inda&amp;utm_medium=Social&amp;utm_source=Twitter#Echobox=1544187490</t>
  </si>
  <si>
    <t>Español. Cristiano. Políticamente Incorrecto.</t>
  </si>
  <si>
    <t>gaspar viana @-vaina</t>
  </si>
  <si>
    <t>https://ift.tt/2rrb79q</t>
  </si>
  <si>
    <t>LIBERAL, LUCHADOR Y ATLETICO.</t>
  </si>
  <si>
    <t>https://thenewsatyourfingertips.wordpress.com/2018/12/07/pedro-sanchez-asistira-a-la-final-en-el-bernabeu/</t>
  </si>
  <si>
    <t>https://pbs.twimg.com/media/Dt0OLVoUwAE6WBM.jpg</t>
  </si>
  <si>
    <t>ANTENA 3 DEPORTES</t>
  </si>
  <si>
    <t>Pedro Sánchez acudirá al #RiverBoca de la Copa Libertadores en el Santiago Bernabéu</t>
  </si>
  <si>
    <t>http://atres.red/f0lew1</t>
  </si>
  <si>
    <t>San Sebastián de los Reyes</t>
  </si>
  <si>
    <t>"Más que Deporte". Cuenta Oficial de los Deportes de Antena 3 Noticias.</t>
  </si>
  <si>
    <t>https://www.antena3.com/noticias/deportes/</t>
  </si>
  <si>
    <t>Pedro Altuna ن ✞</t>
  </si>
  <si>
    <t>IUSPORT</t>
  </si>
  <si>
    <t>Nada hemos de dar por seguro en este mundo, ni nada por perdido definitivamente. De pronto, todo cambia.</t>
  </si>
  <si>
    <t>http://dlvr.it/Qt3fmr</t>
  </si>
  <si>
    <t>https://pbs.twimg.com/media/Dt0OFY9UcAAZ8YV.jpg</t>
  </si>
  <si>
    <t>info(@)iusport.com</t>
  </si>
  <si>
    <t>http://IUSPORT.com. Un diario deportivo con otra perspectiva. Líderes en derecho deportivo.</t>
  </si>
  <si>
    <t>http://iusport.com</t>
  </si>
  <si>
    <t>Johnny</t>
  </si>
  <si>
    <t>#TiempodePactosARV Pedro Sánchez: 'El señor Torra es el Le Pen de la política española'.</t>
  </si>
  <si>
    <t>pic.twitter.com/Vn1qoArYre</t>
  </si>
  <si>
    <t>Sobrevivo entre el animal más despiadado, destructivo y mortífero que existe; el ser humano.</t>
  </si>
  <si>
    <t>Cartagena, España</t>
  </si>
  <si>
    <t>Todavía queda gente sensata en España gracias a Dios. El 'palo' de Rosa Díez a Pedro Sánchez a cuenta de Vox</t>
  </si>
  <si>
    <t>El Ninja De Las Galletas</t>
  </si>
  <si>
    <t>Pedro Sánchez quiere reformar la Constitución para incluir la igualdad entre hombres y mujeres. Pablo Casado sale diciendo que se deje de perder el tiempo en cosas innecesarias que están atacando Podemos y los catalanes. Qué nº de hostias tiene?</t>
  </si>
  <si>
    <t>Oficinas centrales de @telebollito ¯\_(ツ)_/¯</t>
  </si>
  <si>
    <t>Cuando crees que me ves, cruzo la pared, hago CHAS! y patá en los cojones! 🍪 https://www.facebook.com/chinobininja/</t>
  </si>
  <si>
    <t>https://www.latostadora.com/elninjadelasgalletas/</t>
  </si>
  <si>
    <t>https://okdiario.com/espana/2018/12/07/pedro-sanchez-reformar-constitucion-incluir-igualdad-hombres-mujeres-articulo-14-desde-hace-40-anos-3437620#.XApvFBKYo10.twitter</t>
  </si>
  <si>
    <t>Pablo Sánchez Jim.</t>
  </si>
  <si>
    <t>Cientos de asesinatos de ETA y ni un solo reportaje... hay que olvidar.... “normalización” lo llama PEDRO Sánchez!! Gran seguimiento periodístico sobre los terribles asesinatos de los abogados de Atocha en 1977......</t>
  </si>
  <si>
    <t>https://www.facebook.com/1299968942/posts/10213846245012530/</t>
  </si>
  <si>
    <t>Telde. Gran Canaria.</t>
  </si>
  <si>
    <t>CANARIO como el gofio y ESPAÑOL de pura cepa, DUE y con el BALONCESTO como PASION, un entrenador siempre en FORMACIÓN, ahí estamos...</t>
  </si>
  <si>
    <t>Salva Escudero 🇪🇸</t>
  </si>
  <si>
    <t>El Morche y Torre d Benagalbón</t>
  </si>
  <si>
    <t>Secretario Gabinete Alcaldía @Ayto_Torrox. Gestor Comunicación, Redes e Imagen @pptorrox. Emprendedor y apasionado de la fotografía. #liberal Perfil Personal</t>
  </si>
  <si>
    <t>https://instagram.com/salva_escudero/</t>
  </si>
  <si>
    <t>https://okdiario.com/espana/2018/12/07/pedro-sanchez-reformar-constitucion-incluir-igualdad-hombres-mujeres-articulo-14-desde-hace-40-anos-3437620?utm_campaign=newsletter-7-diciembre&amp;utm_medium=email&amp;utm_source=acumbamail</t>
  </si>
  <si>
    <t>ALG</t>
  </si>
  <si>
    <t>Alcornoque! Ridículo apoteósico: Pedro Sánchez pide reformar la Constitución para incluir un artículo․.. que ya existe  vía @MediterraneoDGT</t>
  </si>
  <si>
    <t>LA VERDAD NOS HARÁ LIBRES!!</t>
  </si>
  <si>
    <t>Hdad. Expiración Linares</t>
  </si>
  <si>
    <t>La Hermandad de la Expiración se une al dolor por la pérdida de Luis Pedro Sánchez, presidente de ACIL, por lo que mandamos un mensaje de apoyo para sus familiares y amigos. Que nuestra Señora de la Esperanza lo acoja bajo su manto.</t>
  </si>
  <si>
    <t>https://pbs.twimg.com/media/Dt0Mdq8X4AA2g9e.jpg</t>
  </si>
  <si>
    <t>Perfil Oficial de la Real Hermandad y Cofradía del Smo. Cristo de la Expiración y Ntra. Sra. de la Esperanza - Linares</t>
  </si>
  <si>
    <t>http://www.expiracionyesperanza.com</t>
  </si>
  <si>
    <t>Deportes Madrid</t>
  </si>
  <si>
    <t>🔴 Pedro Sánchez asistirá a la final de la Copa Libertadores en el Bernabéu</t>
  </si>
  <si>
    <t>https://pbs.twimg.com/media/Dt0MSf0XcAA-MSX.jpg</t>
  </si>
  <si>
    <t>Noticias de deportes de Madrid publicadas en Madrid Actual. También puedes seguirnos en @madridactual</t>
  </si>
  <si>
    <t>http://www.madridactual.es/deportes-madrid/</t>
  </si>
  <si>
    <t>Cope Ronda</t>
  </si>
  <si>
    <t>http://ww.cope.es/zofr61</t>
  </si>
  <si>
    <t>Ronda, España</t>
  </si>
  <si>
    <t>http://www.coperonda.es</t>
  </si>
  <si>
    <t>Revista Deporte</t>
  </si>
  <si>
    <t>https://pbs.twimg.com/media/Dt0MDl5WsAIuvus.jpg</t>
  </si>
  <si>
    <t>Noticias de deportes en la Comunidad de Madrid: fútbol, baloncesto, polideportivo. Atlético de Madrid, Real Madrid, Getafe, Rayo. También en @madridactual</t>
  </si>
  <si>
    <t>http://www.revistadeporte.es</t>
  </si>
  <si>
    <t>Erboque</t>
  </si>
  <si>
    <t>Indignante!!! Esta es la libertad que quieren los indepes así como el perroflauta ocupa del actual gobierno socialista don Pedro Sánchez. Alias el trepa? RT @yosoynaranjito_: Quim Torra da a Miquel Buch cuatro días para que purgue a los mandos de los mossos que cargaron contra los CDR. A quien aprietan ahora es a los agentes que cumplieron con su obligación y realizaron su trabajo. Apreteu, apreteu...</t>
  </si>
  <si>
    <t>https://twitter.com/yosoynaranjito_/status/1070986960578203648</t>
  </si>
  <si>
    <t>pic.twitter.com/ULu8hyZw4f</t>
  </si>
  <si>
    <t>Demócrata, currante y español, no soporto la injusticia ni los extremos, defensor de la solidaridad y la unión territorial</t>
  </si>
  <si>
    <t>Juan Luis Sánchez</t>
  </si>
  <si>
    <t>Que toda España quisiera ver una peli patria sería complicado… ¡pero mucho más que Pedro Sánchez abandonara la Moncloa para que se proyectara allí! Tomemos nota de #Roma en #México</t>
  </si>
  <si>
    <t>https://decine21.com/noticias/116898-el-presidente-de-mexico-renuncia-a-su-residencia-oficial-y-se-convierte-en-centro-cultural-con-proyecciones-de-roma</t>
  </si>
  <si>
    <t>https://pbs.twimg.com/media/Dt0LbKhW0AAUmjC.jpg</t>
  </si>
  <si>
    <t>Crítico en http://decine21.com, autor del blog Zona Friki. Publico regularmente libros sobre cine fantástico, como "Alienciclopedia" (Diábolo Ediciones).</t>
  </si>
  <si>
    <t>http://decine21.com/blogs/zona-friki</t>
  </si>
  <si>
    <t>El Antiintermedio</t>
  </si>
  <si>
    <t>Santi Abascal ha vivido siempre del dinero público, no como Casado, Pedro Sánchez y Pablo Iglesias, que eran consultores en McKinsey.</t>
  </si>
  <si>
    <t>En una época en la que los HDLGP van de buenos, toca ser el malo. Y no pasa nada.</t>
  </si>
  <si>
    <t>TyC Sports</t>
  </si>
  <si>
    <t>Pedro Sánchez verá el River-Boca en la cancha.</t>
  </si>
  <si>
    <t>https://www.tycsports.com/nota/copa-libertadores/2018/12/07/pedro-sanchez-presidente-espanol-estara-en-el-bernabeu.html</t>
  </si>
  <si>
    <t>Un canal. Todo el deporte. Mirá TyC Sports las 24hs y otros eventos en vivo en http://www.tycsportsplay.com</t>
  </si>
  <si>
    <t>http://www.tycsports.com</t>
  </si>
  <si>
    <t>Pedro .@sanchezcastejon quiere reformar la Constitución para incluir la igualdad entre hombres y mujeres  vía @eldiarioes</t>
  </si>
  <si>
    <t>DE VALLEKAS</t>
  </si>
  <si>
    <t>DanielCastillo</t>
  </si>
  <si>
    <t>ROSLUFE</t>
  </si>
  <si>
    <t>Llberte,Egalite,Fraternite 🇪🇸🇪🇸🇪🇸🏍️🏍️🏍️🇨🇺🇨🇺🇳🇮🇳🇮🇧🇷🇧🇷🇫🇷🇫🇷</t>
  </si>
  <si>
    <t>TERRA DA CHISPA</t>
  </si>
  <si>
    <t>Pon todo o que eres no mínimo que fagas. Pero aplicao! Medicina basada na evidencia e do que o doente che explica. ¡Falar co enfermo! é primordial.</t>
  </si>
  <si>
    <t>Hay que seguir con la pedagogía cívica y la revolución del respeto.</t>
  </si>
  <si>
    <t>https://www.eldiario.es/politica/Pedro-Sanchez-Congreso-Dia-Constitucion_0_843415844.html</t>
  </si>
  <si>
    <t>https://pbs.twimg.com/media/Dt0KuKNXgAAUbS7.jpg</t>
  </si>
  <si>
    <t>🇪🇸SeñorX🇪🇸</t>
  </si>
  <si>
    <t>Entonces que Pedro Sánchez haya pactado con independentistas y Bildu quiere decir que va hacer todo lo que quieren.Tonto #TiempodePactosARV</t>
  </si>
  <si>
    <t>https://pbs.twimg.com/media/Dt0KtwvXgAEJ_4U.jpg</t>
  </si>
  <si>
    <t>Gritas Fascista!! mientras agredes al que no piensa como tú .Fascista eres TÚ</t>
  </si>
  <si>
    <t>Qmunty</t>
  </si>
  <si>
    <t>Pedro Sánchez celebra la detención del 'ultra' de la matanza de Atocha: "La democracia y la justicia siempre vencen a sus enemigos"</t>
  </si>
  <si>
    <t>http://j.mp/2UnufCv</t>
  </si>
  <si>
    <t>Zürich</t>
  </si>
  <si>
    <t>Eram quod es, eris quod sum</t>
  </si>
  <si>
    <t>http://net.quantitas.com/help/contact</t>
  </si>
  <si>
    <t>loli</t>
  </si>
  <si>
    <t>https://okdiario.com/espana/2018/12/07/pedro-sanchez-reformar-constitucion-incluir-igualdad-hombres-mujeres-articulo-14-desde-hace-40-anos-3437620/amp#click=https://t.co/e49XGBTlHr</t>
  </si>
  <si>
    <t>Lima NewsWeek</t>
  </si>
  <si>
    <t>http://ow.ly/4gty101o8DP</t>
  </si>
  <si>
    <t>https://pbs.twimg.com/media/Dt0KjFiWsAEcOlK.jpg</t>
  </si>
  <si>
    <t>HINOJOS</t>
  </si>
  <si>
    <t>En España</t>
  </si>
  <si>
    <t>He vivido intensamente 78 años dedicados a mi familia y a mi país y sigo con la intención de disfrutar de lo mismo.</t>
  </si>
  <si>
    <t>TomaTuFresco</t>
  </si>
  <si>
    <t>¿Entonces, si según Aroca, el PP y C’s pactan con VOX tienen que aceptar todo lo que representan, Pedro Sanchez habrá tenido que hacer lo mismo con Bildu, ERC, PNV, etc. , no? 🤔🤔🤔🤔#TiempodePactosARV</t>
  </si>
  <si>
    <t>“To argue with a person who has renounced the use of reason is like administering medicine to the dead.” - Thomas Paine</t>
  </si>
  <si>
    <t>GRAAN IN ASS EN ONAFHANKLIKE</t>
  </si>
  <si>
    <t>TABARNIA</t>
  </si>
  <si>
    <t>Las leyes se pueden cambiar.Pero si no las respetas,no esperes que te respete yo a ti.</t>
  </si>
  <si>
    <t>Justatata</t>
  </si>
  <si>
    <t>Me hace una gracia cuando dicen q Pedro Sanchez fue elegido democraticamente... Perdona. La constitucion fue votada? Si En ella aparecia la figura del rey? Si Entonces el rey fue votado? Pom!!!</t>
  </si>
  <si>
    <t>alicante</t>
  </si>
  <si>
    <t>Soy un samurai posmodernista. Sin marco no hay ventana. Sin ventanas realidades.</t>
  </si>
  <si>
    <t>.@sanchezcastejon celebra la detención del ultra García Juliá, autor de la matanza de Atocha: "La democracia siempre vence a sus enemigos".</t>
  </si>
  <si>
    <t>https://www.publico.es/politica/detenido-ultra-matanza-abogados-atocha-pedro-sanchez.html</t>
  </si>
  <si>
    <t>Ernesto 🇪🇸</t>
  </si>
  <si>
    <t>"La arrogancia antecede a la caida". Proverbios 16:18. Pedro Sánchez y Pablo Iglesias. No sois muy de Proverbios, pero ataros los machos</t>
  </si>
  <si>
    <t>Miembro de la S.E.I.P.C, Analista Observatorio sobre el terrorismo internacional y las nuevas amenazas. Esp Com no verbal Ejecutiva de Cs Alicante Gran Via Sur</t>
  </si>
  <si>
    <t>Oscar Alfredo</t>
  </si>
  <si>
    <t>RichieGz</t>
  </si>
  <si>
    <t>A todos los podemitas, socialistas y amigotes de Pablo Iglesias y Pedro Sanchez recordarles que la gentuza que escribió esta carta son los mismos con los que ahora nuestro gobierno de “usurpadores”...</t>
  </si>
  <si>
    <t>https://www.facebook.com/story.php?story_fbid=10155607907951199&amp;id=510371198</t>
  </si>
  <si>
    <t>Madrid / Miami</t>
  </si>
  <si>
    <t>Just me!!!</t>
  </si>
  <si>
    <t>http://www.facebook.com/richiegz</t>
  </si>
  <si>
    <t>infotaller</t>
  </si>
  <si>
    <t>Pedro Sánchez, cuidado con los 'chalecos amarillos' españoles #infotaller</t>
  </si>
  <si>
    <t>https://www.infotaller.tv/reparacion/Pedro-Sanchez-cuidado-chalecos-amarillos-espanoles_0_1280271968.html</t>
  </si>
  <si>
    <t>El diario digital del #taller de reparación. Líder indiscutible de la #posventa de automoción. 180.000 usuarios al mes. ¿Te apuntas? @mar_infotaller</t>
  </si>
  <si>
    <t>http://www.infotaller.tv/usuarios/registro.html</t>
  </si>
  <si>
    <t>https://www.periodistadigital.com/politica/gobierno/2018/12/06/begona-gomez-6-000-euros-de-nomina-mensual-de-una-empresa-en-la-que-no-trabaja.shtml</t>
  </si>
  <si>
    <t>Ninotshka Sulk</t>
  </si>
  <si>
    <t>Pedro Sánchez busca un sitio en Europa donde colocarse si pierde La Moncloa</t>
  </si>
  <si>
    <t>https://okdiario.com/espana/2018/11/30/sanchez-tiene-plan-b-busca-sitio-europa-donde-colocarse-si-pierde-moncloa-3406764#.XApp24vYzug.twitter</t>
  </si>
  <si>
    <t>Mapas&amp;Territorio</t>
  </si>
  <si>
    <t>CARMEN SANZ DORADO</t>
  </si>
  <si>
    <t>Pedro Sánchez quiere reformar la Constitución para incluir la igualdad entre hombres y mujeres  vía @eldiarioes</t>
  </si>
  <si>
    <t>PSICOTERAPIA INTEGRADORA y RELACIONAL</t>
  </si>
  <si>
    <t>http://plus.google.com/106893602023279104248/CARMENSANZDORADO</t>
  </si>
  <si>
    <t>NotiNewsMiami</t>
  </si>
  <si>
    <t>Más de 50 organizaciones de venezolanos en España piden “protección Temporal” al gobierno de Pedro Sánchez</t>
  </si>
  <si>
    <t>https://buff.ly/2p5JPUG</t>
  </si>
  <si>
    <t>Noticias Nacionales e Internacionales las 24 horas. Síguenos también en instagram: https://www.instagram.com/notinewsmiami/</t>
  </si>
  <si>
    <t>http://www.NotiNewsMiami.com</t>
  </si>
  <si>
    <t>Agitador Trotskista</t>
  </si>
  <si>
    <t>Valencia  España</t>
  </si>
  <si>
    <t>Trotskista, republicano y ciudadano del mundo , resistiendo al sistema</t>
  </si>
  <si>
    <t>la gran cagada de Pedro jota, tapando su desfachatez con el descontento con VOX, lo suyo es de Pedroflautas Sánchez y la ultraizquierda chavista INCONSTITUCIONAL de la Chusma Comunista bolivariana de Podemos.</t>
  </si>
  <si>
    <t>https://www.periodistadigital.com/periodismo/tv/2018/12/07/ensalada-de-criticas-a-pedrojota-ramirez-por-lanzarse-al-cuello-de-ana-rosa-quintana-por-segun-el-humanizar-a-un-lider-de-extrema-derecha.shtml</t>
  </si>
  <si>
    <t>Natxo González released the roster for the game Vs. CD Numancia. Carlos Fernández, Cartabia and Gerard Valentín are out injured. David Simón and Domingos Duarte return from suspension. Pedro Sánchez is also in</t>
  </si>
  <si>
    <t>https://pbs.twimg.com/media/Dt0HVXDU8AE4oo3.jpg</t>
  </si>
  <si>
    <t>El verdadero CIS de Pedro Sánchez: otro espectacular abucheo en el Congreso - ESdiario.</t>
  </si>
  <si>
    <t>Economía Digital</t>
  </si>
  <si>
    <t>VER EN DIRECTO | 🎥 Pedro Sánchez preside el Consejo de Ministros tras tres semanas sin hacerlo debido a sus compromisos internacionales</t>
  </si>
  <si>
    <t>https://www.economiadigital.es/politica-y-sociedad/ver-en-directo-or-consejo-de-ministros_592892_102.html?utm_source=Twitter&amp;utm_medium=Social</t>
  </si>
  <si>
    <t>La información necesaria. Desde el 15/NOV/2008. Nuestros canales: @galiciaED_ @ideasED_ @cerodosbe @diariogolcom y @smartzings. Nuestros libros: @edlibros</t>
  </si>
  <si>
    <t>https://www.economiadigital.es/</t>
  </si>
  <si>
    <t>Javier Corripio</t>
  </si>
  <si>
    <t>El populismo de Pedro Sánchez se extiende al sector energético - Libre Mercado</t>
  </si>
  <si>
    <t>The Alps</t>
  </si>
  <si>
    <t>PhD University of Edinburgh. Interest in weather, climate, glaciers, mountains, photography and common sense. https://goo.gl/wyZpb3</t>
  </si>
  <si>
    <t>https://www.instagram.com/javiercorripio/</t>
  </si>
  <si>
    <t>Martínez</t>
  </si>
  <si>
    <t>No te preguntes qué puede hacer tu país por ti, pregúntate que puedes hacer tú por tu país. John F. Kennedy</t>
  </si>
  <si>
    <t>Senda</t>
  </si>
  <si>
    <t>Vamos, lo que viene siendo el art. 14 de la misma..... 🙄</t>
  </si>
  <si>
    <t>Madrid, nacida en Valladolid.</t>
  </si>
  <si>
    <t>Soy como soy....o me quieren o me odian, no hay medias tintas. Sincera, directa, tal vez hiriente, pero me rio de mi y del mundo......</t>
  </si>
  <si>
    <t>Knockin On Heavens Door... ♒🐎🇪🇸 ... ( ͡° ͜ʖ ͡°)</t>
  </si>
  <si>
    <t>http://chng.it/gmvZGWft</t>
  </si>
  <si>
    <t>Con el paso del tiempo he aprendido a relativizar, suavizar las experiencias desagradables del pasado aunque todavía estoy aprendiendo a olvidarlas. José Miguel</t>
  </si>
  <si>
    <t>Pedro Sánchez ultima un 'six pack' para revertir la reforma laboral al margen de la CEOE @la_informacion</t>
  </si>
  <si>
    <t>https://www.lainformacion.com/economia-negocios-y-finanzas/laboral/sanchez-decreto-reforma-laboral-empresarios-ceoe/6445847?utm_source=twitter.com&amp;utm_medium=socialshare&amp;utm_campaign=mobile_amp</t>
  </si>
  <si>
    <t>José_M_Rivera_</t>
  </si>
  <si>
    <t>Pedro Sánchez convocará elecciónes si no consigue aprobar los presupuestos en enero y las hará coincidir con las autonómicas, municipales y europeas del 26 de mayo en lo que sería la primera vez en la historia de España que coinciden todas el mismo día. El llamado "SUPERDOMINGO"</t>
  </si>
  <si>
    <t>Dresde, Sajonia</t>
  </si>
  <si>
    <t>Sólo soy un tipo normal que conoce a las personas indicadas...</t>
  </si>
  <si>
    <t>El Correo de Madrid</t>
  </si>
  <si>
    <t>Pedro Sánchez quiere eliminar la inviolabilidad del Rey. Por Diego Fierro Rodríguez  vía @CorreoDeMadrid</t>
  </si>
  <si>
    <t>https://www.elcorreodemadrid.com/opinion/618561635/Pedro-Sanchez-quiere-eliminar-la-inviolabilidad-del-Rey.-Por-Diego-Fierro-Rodriguez.html</t>
  </si>
  <si>
    <t>Un diario de Madrid con una clara tendencia municipalista al servicio de España. http://www.elcorreodemadrid.com</t>
  </si>
  <si>
    <t>http://www.elcorreodemadrid.com</t>
  </si>
  <si>
    <t>El fiasco en Andalucía lleva a Pedro Sánchez a cambiar de plan y anuncia que presentará los presupuestos  #CMin</t>
  </si>
  <si>
    <t>https://www.elmundo.es/cataluna/2018/12/07/5c0a396721efa049618b457f.html</t>
  </si>
  <si>
    <t>https://www.eldiario.es/politica/Andalucia-Sanchez-cambiar-presentara-presupuestos_0_842716786.html</t>
  </si>
  <si>
    <t>https://pbs.twimg.com/media/Dt0EMYLXQAIclAw.jpg</t>
  </si>
  <si>
    <t>https://pbs.twimg.com/media/Dt0EptnWwAAkHuE.jpg</t>
  </si>
  <si>
    <t>TL&amp;Jaén Magazine</t>
  </si>
  <si>
    <t>COMUNICADO ASOCIACIÓN DE COMERCIANTES E INDUSTRIALES DE LINARES En el día de ayer falleció el que ha sido presidente de esta Asociación durante los últimos catorce años, D. Luis Pedro Sánchez Rodríguez. Desde la...</t>
  </si>
  <si>
    <t>https://www.facebook.com/jaenmagazine/posts/2282783305333516</t>
  </si>
  <si>
    <t>Jaén, Andalucía</t>
  </si>
  <si>
    <t>Todo Linares&amp;Jaén Magazine, la revista de Jaén. Aquí podrás encontrar la información de tu ciudad: cultura, eventos, turismo, deporte...</t>
  </si>
  <si>
    <t>http://www.jaenmagazine.es</t>
  </si>
  <si>
    <t>Puñeteros castells🇪🇸</t>
  </si>
  <si>
    <t>Me ha gustado un vídeo de @YouTube ( - El verdadero Pedro Sánchez - InfoVlogger).</t>
  </si>
  <si>
    <t>http://youtu.be/OBEluUwFIu0?a</t>
  </si>
  <si>
    <t>Reflexionando fuera del recipiente... y mi tesis está colgada en Internet desde hace quinquenios😉</t>
  </si>
  <si>
    <t>Capitan_Flint</t>
  </si>
  <si>
    <t>Anda, así k sí se puede subir el SMI sin aprobar los PGE... @EnComu_Podem @ahorapodemos @joanmena @jcanadellb @AlbanoDante76 @ramirp @KRLS @QuimTorraiPla @Esquerra_ERC ay, que Pedro Sanchez igual se ha asustado un poco...</t>
  </si>
  <si>
    <t>https://m.publico.es/politica/2071563/el-gobierno-aprobara-la-subida-del-salario-minimo-este-mes-para-que-entre-en-vigor-en-enero/amp?__twitter_impression=true</t>
  </si>
  <si>
    <t>¿¿Qué le decimos a la muerte?? ¡¡Hoy no!!</t>
  </si>
  <si>
    <t>Linares Deporte</t>
  </si>
  <si>
    <t>Desde este magazine digital deportivo Linares deporte queremos mostrar la pérdida de Luis Pedro Sánchez presidente de Acil durante estos 14 años y que ha apoyado mucho el deporte en Linares.</t>
  </si>
  <si>
    <t>https://pbs.twimg.com/media/Dt0D1nRXgAAL0zR.jpg</t>
  </si>
  <si>
    <t>Magazine Digital Deportivo, informando de toda la actualidad Deportiva de los clubes de Linares ¡Únete, opina, colabora y contacta redaccion@linaresdeporte.es</t>
  </si>
  <si>
    <t>http://www.linaresdeporte.es</t>
  </si>
  <si>
    <t>Inmoavery.com</t>
  </si>
  <si>
    <t>Por D. Luis María Ansón,EL VOLUNTARISMO POLÍTICO DE PEDRO SÁNCHEZ,:</t>
  </si>
  <si>
    <t>https://www.elimparcial.es/noticia/196408/</t>
  </si>
  <si>
    <t>Marbella . España .</t>
  </si>
  <si>
    <t>*Información especializada en general .ESPAÑA 1º.</t>
  </si>
  <si>
    <t>http://www.inmoavery.com</t>
  </si>
  <si>
    <t>Súper Fer</t>
  </si>
  <si>
    <t>http://dlvr.it/Qt3V4V</t>
  </si>
  <si>
    <t>https://pbs.twimg.com/media/Dt0DXGSUcAA9GAs.jpg</t>
  </si>
  <si>
    <t>Periodista. En busca de la información que nadie publica y que a todos interesa.</t>
  </si>
  <si>
    <t>JLP</t>
  </si>
  <si>
    <t>Pues lo normal, hay alguien que no esté de acuerdo? La merma no cuenta, vale... . . . . . Abucheos a Pedro Sánchez a su llegada al Congreso y larga ovación a los reyes  vía @20m</t>
  </si>
  <si>
    <t>https://www.20minutos.es/noticia/3510387/0/abucheos-pedro-sanchez-congreso-aniversario-constitucion/?utm_source=twitter.com&amp;utm_medium=socialshare&amp;utm_campaign=mobile_web</t>
  </si>
  <si>
    <t>Madrid  España</t>
  </si>
  <si>
    <t>GUADARRAMA. No soporto a podemistas, ni separatistas. Bloq. a la de ya. La verdad te hará libre. Real Madrid en el corazón. 💓 Tabarnia y voto #PP</t>
  </si>
  <si>
    <t>Marina A. Carrasco</t>
  </si>
  <si>
    <t>Pedro Sánchez quiere incluir la igualdad de hombres y mujeres en la Constitución. Pero ya aparece  @magnet_es</t>
  </si>
  <si>
    <t>http://dlvr.it/Qt3V0Z</t>
  </si>
  <si>
    <t>https://pbs.twimg.com/media/Dt0DQR5UwAEhaOD.jpg</t>
  </si>
  <si>
    <t>Entrepeneur, passionate for #events and #technology, adventure lover https://www.linkedin.com/in/macarrasco/</t>
  </si>
  <si>
    <t>http://marina-carrasco.com/</t>
  </si>
  <si>
    <t>Séneca</t>
  </si>
  <si>
    <t>Ahora, habiendo visto lo visto,entre la Monarquía de Felipe VI y los posibles presidentes de la República, Pedro Sánchez,P '.Iglesias,Rajoy o Aznar,me pasa lo que a Pérez Reverte,me quedo con Felipe VI</t>
  </si>
  <si>
    <t>Continuar haciendo del Real Madrid el mejor equipo del Mundo</t>
  </si>
  <si>
    <t>The Big Farsa</t>
  </si>
  <si>
    <t>Es que el 21 toca comer canapés con Pedro Sánchez, y días más tarde....Navidad</t>
  </si>
  <si>
    <t>https://www.lavanguardia.com/politica/20181207/453403401352/quim-torra-ayuno-48-horas-presos-huelga-hambre-cataluna.html?utm_campaign=botones_sociales_app&amp;utm_source=social-otros&amp;utm_medium=social</t>
  </si>
  <si>
    <t>José Moreno Valera</t>
  </si>
  <si>
    <t>Lucho por la III República</t>
  </si>
  <si>
    <t>Carlos V</t>
  </si>
  <si>
    <t>Soy español y de Linares !!! casi na !!!!</t>
  </si>
  <si>
    <t>🇪🇸🇪🇸SOQ🇪🇸🇪🇸</t>
  </si>
  <si>
    <t>Ya lo dije, un inútil, hay que investigar seriamente todo su expediente académico, parece imposible que tan siquiera tenga EGB. Ridículo apoteósico: Pedro Sánchez pide reformar la Constitución para incluir un artículo․.. que ya existe  vía @MediterraneoDGT</t>
  </si>
  <si>
    <t>Vigo</t>
  </si>
  <si>
    <t>Trabajando en medio mundo y viviendo en el otro medio aprende uno cuales son su patria, su bandera, su amigos y su familia.</t>
  </si>
  <si>
    <t>Barbijaputa Alt-Right</t>
  </si>
  <si>
    <t>Este es el nivel de los verdaderos fascistas en España. PEDRO SANCHEZ Y PABLO MEZQUITAS COMPLICES</t>
  </si>
  <si>
    <t>https://pbs.twimg.com/media/Dt0CG2JWoAA6GwU.jpg</t>
  </si>
  <si>
    <t>España grande otra vez</t>
  </si>
  <si>
    <t>Un dia los fascistas se denominaran a ellos mismos antifascistas.</t>
  </si>
  <si>
    <t>https://gab.ai/Barbijaputa</t>
  </si>
  <si>
    <t>verbolsacom</t>
  </si>
  <si>
    <t>Quim Torra ayunará antes de la visita de Pedro Sánchez a Barcelona</t>
  </si>
  <si>
    <t>https://goo.gl/fb/2DDLkK</t>
  </si>
  <si>
    <t>Fundador de Verbolsa</t>
  </si>
  <si>
    <t>http://www.verbolsa.com</t>
  </si>
  <si>
    <t>Isaacj 9000</t>
  </si>
  <si>
    <t>Tuiteo noticias contra la desinformación y opino con ironía sobre política, tecnología, cine, series, música, videojuegos, anime y animales. «RT ≠ Aprobación»</t>
  </si>
  <si>
    <t>https://disidentes.online</t>
  </si>
  <si>
    <t>Arian Chay</t>
  </si>
  <si>
    <t>Pedro Sánchez desconoce la Constitución: pide reformarla para incluir la igualdad entre hombres y mujeres- Libertad Digital | Versión Móvil (mobile)</t>
  </si>
  <si>
    <t>Rafael Pérez</t>
  </si>
  <si>
    <t>Que estos tres se disputen el extremo centro (la derecha de la mal llamada 'postverdad') los hermana en lo fundamental y casi en todo lo accesorio  vía @eldiarioes</t>
  </si>
  <si>
    <t>Al azar diletante hedonista cínico patafísico contradictorio... Au hasard dilettante hédoniste cynique pataphysicien contradictoire...</t>
  </si>
  <si>
    <t>http://www.unoscuantostextos.org/</t>
  </si>
  <si>
    <t>Carlos Ros Carballar</t>
  </si>
  <si>
    <t>https://okdiario.com/espana/2018/12/07/pedro-sanchez-reformar-constitucion-incluir-igualdad-hombres-mujeres-articulo-14-desde-hace-40-anos-3437620#.XApiNEd3P70.twitter</t>
  </si>
  <si>
    <t>Escritor</t>
  </si>
  <si>
    <t>http://miparroquiadepapel.blogspot.com/</t>
  </si>
  <si>
    <t>GPinarPeña</t>
  </si>
  <si>
    <t>Español. Historia, ciencia y actualidad. #AntiNOM. No al comunismo. No al terrorismo. No al blanqueamiento de ETA #NiOlvidoNiPerdón</t>
  </si>
  <si>
    <t>PP Comunidad de Madrid</t>
  </si>
  <si>
    <t>Frente al sectarismo de Carmena y la inacción de Pedro Sánchez, la Comunidad de Madrid sigue ayudando a los madrileños.</t>
  </si>
  <si>
    <t>http://www.expansion.com/economia/2018/12/06/5c083f3746163f25028b45cd.html</t>
  </si>
  <si>
    <t>Somos el partido preferido de los madrileños. En este proyecto tú eres el protagonista 📮 participa@ppmadrid.es</t>
  </si>
  <si>
    <t>Theon Greyjoy</t>
  </si>
  <si>
    <t>Pedro Sánchez confía en quedarse con el centro político de cara al nuevo ciclo electoral  Vía @Eldiarioes</t>
  </si>
  <si>
    <t>Galiza</t>
  </si>
  <si>
    <t>Otra grieta en el muro</t>
  </si>
  <si>
    <t>Para el PP y Ciudadanos, Pedro Sánchez, es un vendedor de humo  @nuevatribuna #TratadoUtrech #ConflictoGibraltarEspaña #DerechoDeAutodeterminación #Brexit</t>
  </si>
  <si>
    <t>https://www.nuevatribuna.es/opinion/victor-arrogante/tratado-de-utrecht-dos/20181202183720158032.html</t>
  </si>
  <si>
    <t>Azaña Cabreado</t>
  </si>
  <si>
    <t>Más de 5 millones de españoles el pasado 26J, cuando se celebraron elecciones generales que configuraron el Parlamento actual, que votó a Pedro Sánchez durante la moción de censura. RT @numer344: Dicen que nadie ha votado al Rey. Me gustaría saber quien ha votado a Pedro Sánchez.</t>
  </si>
  <si>
    <t>https://twitter.com/numer344/status/1070803382670114816?s=19</t>
  </si>
  <si>
    <t>Fui Presidente de la Segunda República Española. Liberal de izquierdas, burgués, y republicano español.</t>
  </si>
  <si>
    <t>Manuel Trujillo (CSIC): "La clase media-alta andaluza ha votado en clave nacional y han querido dar una bofetada a Pedro Sánchez" RT @eldiarioAnd: ¿Por qué Andalucía giró a la derecha 36 años después? Expertos del Centro de Análisis y Documentación Política y Electoral, y del Instituto de Estudios Sociales Avanzados del exponen su análisis</t>
  </si>
  <si>
    <t>https://twitter.com/eldiarioAnd/status/1071007681454968832
https://www.eldiario.es/_323ad4aa</t>
  </si>
  <si>
    <t>https://pbs.twimg.com/media/Dtz7z19XcAAtadb.jpg</t>
  </si>
  <si>
    <t>ANDALUCÍA</t>
  </si>
  <si>
    <t>#Socialista #Izquierda | Nacer iguales, morir libres ¡¡PEDID TIERRA Y LIBERTAD!! Por Andalucía libre!!</t>
  </si>
  <si>
    <t>F 🇭🇷</t>
  </si>
  <si>
    <t>Mentre Sal*ini scrive tweet misogini contro la Anderson, in Spagna esiste Pedro Sánchez.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</si>
  <si>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Smetto di lamentarmi solo per mangiare.</t>
  </si>
  <si>
    <t>https://fitwhatsername.wordpress.com/</t>
  </si>
  <si>
    <t>Dkxisnakksld</t>
  </si>
  <si>
    <t>Pedro Sanchez dice siempre lo mismo,lo que "la gente" quiere escuchar,siemore hace lo mismo,nada,pero es nuestro presidente,y como esta ahi tras las elecc....espera.....Que coño pinta ese tio ahi?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</si>
  <si>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No te importa una mierda</t>
  </si>
  <si>
    <t>El Diario Aragón</t>
  </si>
  <si>
    <t>Pedro Sánchez confía en quedarse con el centro político de cara al nuevo ciclo electoral</t>
  </si>
  <si>
    <t>https://pbs.twimg.com/media/Dtz_auIXQAAb0Xt.jpg</t>
  </si>
  <si>
    <t>#Periodismo a pesar de todo. También en #Aragón.</t>
  </si>
  <si>
    <t>http://www.eldiario.es/aragon/</t>
  </si>
  <si>
    <t>InfoHeaders_Test</t>
  </si>
  <si>
    <t>INFH NDPNTSM 071218130038 El palo de Rosa Díez a Pedro Sánchez a cuenta de Vox</t>
  </si>
  <si>
    <t>https://www.cope.es/programas/herrera-en-cope/audios/palo-rosa-diez-pedro-sanchez-cuenta-vox-20181207_591495</t>
  </si>
  <si>
    <t>Cuenta experimental para la creación de diarios privados para 'The InfoHeaders Journal'.</t>
  </si>
  <si>
    <t>http://www.infoheaders.com</t>
  </si>
  <si>
    <t>Según Pedro Sánchez, con el Brexit perdemos todos, especialmente Reino Unido, pero en relación con Gibraltar, España gana  #TratadoUtrech #ConflictoGibraltarEspaña #DerechoDeAutodeterminación #Brexit</t>
  </si>
  <si>
    <t>http://www.multiforo.eu/Colaboraciones/2018/TratadoDeUtrechDos.htm</t>
  </si>
  <si>
    <t>☭Femibolchevique ♀</t>
  </si>
  <si>
    <t>Ojalá alguien me mirase a mi como Pedro Sánchez se mira a si mismo</t>
  </si>
  <si>
    <t>https://pbs.twimg.com/media/Dtz_LQWX4AAudiI.jpg</t>
  </si>
  <si>
    <t>Tenerife (Islas Canarias)</t>
  </si>
  <si>
    <t>No soy nadie... Solo una pringadilla de twitter Cuenta candado @NudesQuantum.</t>
  </si>
  <si>
    <t>https://curiouscat.me/ProfesorQuantum</t>
  </si>
  <si>
    <t>Kyog RE</t>
  </si>
  <si>
    <t>Por qué sale Pedro Sanchez en el anuncio del pubg movil</t>
  </si>
  <si>
    <t>pic.twitter.com/yfrp7ITfy1</t>
  </si>
  <si>
    <t>ｕｎｄｅｆｉｎｅｄ</t>
  </si>
  <si>
    <t>20, otters &amp; radialblur. XPR &amp; SHIPMENT GODDESS @ResPEmpire</t>
  </si>
  <si>
    <t>https://www.youtube.com/kyog86</t>
  </si>
  <si>
    <t>La directora del CAPDEA (CIS Andaluz): "Hay una parte de la izquierda se quedó en casa y el papel de Susana Díaz en la salida de Pedro Sánchez del PSOE, posibilitando el Gobierno de Mariano Rajoy. Traicionó a su electorado de izquierdas" RT @eldiarioAnd: ¿Por qué Andalucía giró a la derecha 36 años después? Expertos del Centro de Análisis y Documentación Política y Electoral, y del Instituto de Estudios Sociales Avanzados del exponen su análisis</t>
  </si>
  <si>
    <t>INFH NDPNTSM 071218125121 Quim Torra ayunará antes de la visita de Pedro Sánchez a Barcelona</t>
  </si>
  <si>
    <t>José Antonio Cubero</t>
  </si>
  <si>
    <t>https://okdiario.com/espana/2018/12/07/pedro-sanchez-reformar-constitucion-incluir-igualdad-hombres-mujeres-articulo-14-desde-hace-40-anos-3437620#.XApeESym0-E.twitter</t>
  </si>
  <si>
    <t>Artesano de la Libertad en Tabarnia, España</t>
  </si>
  <si>
    <t>victor rodriguez de</t>
  </si>
  <si>
    <t>Los socios de Pedro Sánchez.</t>
  </si>
  <si>
    <t>https://pbs.twimg.com/media/Dtz7_yBWwAEzTex.jpg</t>
  </si>
  <si>
    <t>G.P.tercera Caida Li</t>
  </si>
  <si>
    <t>Desde estas líneas el Grupo Parroquial quiere expresar nuestro más sincero pésame a los familiares y amigos de Luis Pedro Sánchez, presidente de la Asociación de Comerciantes e Industriales de Linares, por su triste pérdida. Que nuestra Madre y Señora de la Victoria le acoja</t>
  </si>
  <si>
    <t>https://pbs.twimg.com/media/Dtz76hwWwAAY6G_.jpg</t>
  </si>
  <si>
    <t>Grupo Parroquial De Ntro Padre Jesús de la Misericordia en su Tercera Caída, Ntra Señora de la Victoria y San Juan Evangelista (Cuenta Oficial)</t>
  </si>
  <si>
    <t>https://terceracaidalinare.wixsite.com/terceracaidalinares</t>
  </si>
  <si>
    <t>Quim Torra ha anunciado que hará un ayuno de 48 horas antes del 21-D: "Debemos servir de altavoz de los presos"</t>
  </si>
  <si>
    <t>https://www.economiadigital.es/politica-y-sociedad/quim-torra-ayunara-antes-de-la-visita-de-pedro-sanchez-a-barcelona_592919_102.html?utm_source=Twitter&amp;utm_medium=Social</t>
  </si>
  <si>
    <t>Adrián Ortiz Adell</t>
  </si>
  <si>
    <t>https://pbs.twimg.com/media/Dtz7TyMWwAEIDq-.jpg</t>
  </si>
  <si>
    <t>Periodista de @EconomiaED_. RT is not endorsement</t>
  </si>
  <si>
    <t>http://www.economiadigital.es</t>
  </si>
  <si>
    <t>Sánchez pide incluir en la Constitución la igualdad entre hombres y mujeres… ¡que ya está en el art. 14 desde 1978!</t>
  </si>
  <si>
    <t>Eduardo Gómez Mel</t>
  </si>
  <si>
    <t>Os espero en Religión en Libertad, El Diestro,e Infohispania</t>
  </si>
  <si>
    <t>Vecinos de Tarrasa llorando de pánico ante los destrozos y brutal violencia de los terroristas de CDR. No difundirán estas imágenes en @A3Noticias @telecincoes @cuatro @sextaNoticias @rtve ni demás canales basura. Los culpables: Sánchez y Torrá. Indignante</t>
  </si>
  <si>
    <t>pic.twitter.com/oa5l4ExLOh</t>
  </si>
  <si>
    <t>Hoy por hoy</t>
  </si>
  <si>
    <t>Si pensáis en Pablo Casado, Gabriel Rufián, Santiago Abascal, Albert Rivera, Pedro Sánchez o Pablo Iglesias... ¿De verdad creéis que este es un buen momento para reformar la Constitución? #LaPreguntaDelDía</t>
  </si>
  <si>
    <t>Cadena SER</t>
  </si>
  <si>
    <t>El programa líder de la radio española. De lunes a viernes, de 6:00 a 12:20h, en @La_SER. Dirigido por @PepaBueno y Toni @GarridoCoronado.</t>
  </si>
  <si>
    <t>http://www.hoyporhoy.es</t>
  </si>
  <si>
    <t>https://okdiario.com/espana/2018/12/07/pedro-sanchez-reformar-constitucion-incluir-igualdad-hombres-mujeres-articulo-14-desde-hace-40-anos-3437620#.XApbngWfTTg.facebook</t>
  </si>
  <si>
    <t>https://okdiario.com/espana/2018/12/07/pedro-sanchez-reformar-constitucion-incluir-igualdad-hombres-mujeres-articulo-14-desde-hace-40-anos-3437620#.XApbldQHmP4.twitter</t>
  </si>
  <si>
    <t>Santa Cruz de Tenerife, España</t>
  </si>
  <si>
    <t>Luis Leonardo Villalba</t>
  </si>
  <si>
    <t>LA TIRANÍA NO PUEDE DERROTAR EL PODER DE LAS IDEAS.</t>
  </si>
  <si>
    <t>Carlos Rebollo</t>
  </si>
  <si>
    <t>Madre mía, pero en el PSOE a nadie le da vergüenza cada vez que habla vuestro jefe? @sanchezcastejon @psoe</t>
  </si>
  <si>
    <t>John Henry Kurtz</t>
  </si>
  <si>
    <t>Pedro Sánchez - presidente del Gobierno: NO EXPOLIE, por segunda vez, el Archivo de Salamanca - Firma:</t>
  </si>
  <si>
    <t>http://www.citizengo.org/hazteoir/166670-no-expolie-por-segunda-vez-archivo-salamanca?tc=tw&amp;tcid=52566367</t>
  </si>
  <si>
    <t>Barcelona (Tabarnia) España</t>
  </si>
  <si>
    <t>El lado cómico de la Watchtower</t>
  </si>
  <si>
    <t>http://johnhenrykurtz.blogspot.com.es/</t>
  </si>
  <si>
    <t>Aldo Vázquez</t>
  </si>
  <si>
    <t>Menuda semanita. Estuvieron tocados/lesionados: Carlos Fernández, Caballo, Valentín, Vicente Gómez, Somma, David Simón, Pedro Sánchez y Fede Cartabia. Ocho jugadores. RT @CorunaDeportiva: Abegondo | Diego Caballo y Gerard Valentín se retiran lesionados del entrenamiento del Deportivo</t>
  </si>
  <si>
    <t>https://twitter.com/CorunaDeportiva/status/1071003480654004224</t>
  </si>
  <si>
    <t>Grado ADE y Máster Marketing Digital (USC) Máster Profesorado (UDC) Colaborador: @SpheraSports, @mundiario y @Losotros18. Gestión @Sp_RCDeportivo</t>
  </si>
  <si>
    <t>https://spherasports.com/a/1518786832-aldo-vazquez</t>
  </si>
  <si>
    <t>Roque Paredes Ruiz - Toros</t>
  </si>
  <si>
    <t>JONATHAN SANCHEZ PEIX "JUAN DEL ALAMO Nacimiento: Ciudad Rodrigo (Salamanca), 01/10/1991 Debut En Madrid: 30/04/2010 Alternativa: Santander, 25/07/2011 Padrino: Julian Lopez "El Juli" Confirmacion: 08/04/2012 Padrino: Jose Pedro Prados "El Fundi"</t>
  </si>
  <si>
    <t>https://pbs.twimg.com/media/Dtz4mFiWkAA5ZKJ.jpg</t>
  </si>
  <si>
    <t>Lorca, España</t>
  </si>
  <si>
    <t>Pasion Por La Tauromaquia</t>
  </si>
  <si>
    <t>Nazareno Linares</t>
  </si>
  <si>
    <t>Desde este foro queremos transmitir nuestras condolencias a la familia, amigos y compañeros de Luis Pedro Sánchez, presidente de la Asociación de Comerciantes e Industriales de Linares, por su triste pérdida. D.E.P.</t>
  </si>
  <si>
    <t>Linares, Andalucía</t>
  </si>
  <si>
    <t>Twitter Oficial de la Real Cofradía de Ntro. Padre Jesús Nazareno, Mª Stma. del Mayor Dolor y San Juan Evangelista</t>
  </si>
  <si>
    <t>http://www.nazarenolinares.org</t>
  </si>
  <si>
    <t>TERCIOS VIEJOS</t>
  </si>
  <si>
    <t>Ridículo apoteósico: Pedro Sánchez pide reformar la Constitución para incluir un artículo․.. que ya existe CATETO A BABOR POR ENESIMA VEZ. vía @MediterraneoDGT</t>
  </si>
  <si>
    <t>Destreza es el arte de matar al enemigo ...cuando este espera morir , cuando sabe que ha estado cometiendo errores .</t>
  </si>
  <si>
    <t>Pedro Sánchez quiere incluir la igualdad entre hombres y mujeres en la Constitución. Hay un problema: ya aparece (en el artículo 14). Su propuesta encaja bien, sin embargo, con corrientes que reivindican una reforma "feminista" de la carta magna.</t>
  </si>
  <si>
    <t>koeman</t>
  </si>
  <si>
    <t>Todos los dias hace una este tipo</t>
  </si>
  <si>
    <t>https://okdiario.com/espana/2018/12/07/pedro-sanchez-reformar-constitucion-incluir-igualdad-hombres-mujeres-articulo-14-desde-hace-40-anos-3437620/amp?utm_campaign=ok&amp;utm_medium=Social&amp;utm_source=Twitter&amp;__twitter_impression=true</t>
  </si>
  <si>
    <t>santa marta</t>
  </si>
  <si>
    <t>⚽</t>
  </si>
  <si>
    <t>https://pbs.twimg.com/media/Dtz4IXWX4AA1MSe.jpg</t>
  </si>
  <si>
    <t>Linares 9ª Provincia</t>
  </si>
  <si>
    <t>Nos ha dejado para siempre nuestro amigo Luis Pedro Sánchez Rodríguez. Otro linarense acérrimo que durante toda su vida enarboló con orgullo la bandera pentacolor. Quince años Presidente de la Asociación de Comerciantes e Industriales de Linares. Cada vez vamos quedando menos.</t>
  </si>
  <si>
    <t>https://pbs.twimg.com/media/Dtz37WYXgAAHp2E.jpg</t>
  </si>
  <si>
    <t>Por nuestra sangre minera, no seguiremos permitiendo que se nos robe nuestra identidad. Llegó el momento de poner fin a dos siglos de ocupación y de imposición.</t>
  </si>
  <si>
    <t>http://www.linaresnovenaprovincia.wordpress.com</t>
  </si>
  <si>
    <t>¿Se ha leído Sánchez la Constitución?: pide reformarla para incluir la igualdad entre hombres y mujeres</t>
  </si>
  <si>
    <t>EL TIGRE</t>
  </si>
  <si>
    <t>Preguntas sobre Cataluña a Pedro Sánchez -Vas a permanecer impasible ante lo que está pasando en Cataluña? -Para eso querías ser Presidente del Gobierno? -Que clase de Cobarde Cagón eres? -No vas a hacer nada? -No vas a aplicar el 155? -Llega tu Megalomanía hasta ese extremo: RT @Schuma78: ⛔VÍDEO CENSURADO EN TV3⛔ Vecinos de Terrassa llorando por el miedo generado por la violencia de los CDR...</t>
  </si>
  <si>
    <t>Erika. ♡</t>
  </si>
  <si>
    <t>debería ser inconstitucional que algunas leyes no tengan título en los artículos es en plan por qué coño tengo que leerme el artículo entero para saber de qué va???????? seguro que pedro sánchez no se ha enterado de este desastre organizativo porque si no ya lo habría arreglado</t>
  </si>
  <si>
    <t>Oscar a Amy Adams ♀⠀</t>
  </si>
  <si>
    <t>🌺 ⠀⠀⠀⠀me gusta oler a frutas tropicales y hablar de los personajes de mis novelas como si fueran reales ⠀⠀ 🌺ᵔᵕᵔ</t>
  </si>
  <si>
    <t>https://curiouscat.me/zaynspanther</t>
  </si>
  <si>
    <t>Abucheos a Pedro Sánchez  vía @elmundoes</t>
  </si>
  <si>
    <t>Abucheos a Pedro Sánchez - ELMUNDOTV</t>
  </si>
  <si>
    <t>Mr.ThreeM</t>
  </si>
  <si>
    <t>http://www.citizengo.org/hazteoir/pc/166961-pedro-sanchez-vende-guardia-civil?tc=tw&amp;tcid=52566212</t>
  </si>
  <si>
    <t>Murcianista de pura cepa. El mejor regalo que le puedes dar a alguien, es tu tiempo.</t>
  </si>
  <si>
    <t>Rubén FG</t>
  </si>
  <si>
    <t>Uno de estos días Pedro Sánchez inventa la máquina de vapor e inicia la Revolución Industrial.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</si>
  <si>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el señol javiel</t>
  </si>
  <si>
    <t>- Pedro Sánchez ha hecho esta barbaridad. - Culpa de la derecha. Y así con todo. RT @MaiteBenBen: @Cris_BP_ @jamarinsa La derecha busca votantes.</t>
  </si>
  <si>
    <t>https://twitter.com/MaiteBenBen/status/1070959270072594432</t>
  </si>
  <si>
    <t>un poquito en balerma</t>
  </si>
  <si>
    <t>boticario vocacional, sociólogo aficionado, publicista frustrado, cervecero empedernido, gastrónomo obligado y buscador de algo. Urbanita de izquierdas.</t>
  </si>
  <si>
    <t>http://elboticario.blogspot.com</t>
  </si>
  <si>
    <t>Ridículo apoteósico: Pedro Sánchez pide reformar la Constitución para incluir un artículo․.. que ya existe  No hay en el @PSOE elemento mas tonto que .@sanchezcastejon él y .@Pablo_Iglesias_ pareja ideal para los película los tontos también se enamoran😂😂</t>
  </si>
  <si>
    <t>http://www.mediterraneodigital.com/espana/espana/ridiculo-apoteosico-pedro-sanchez-pide-reformar-la-constitucion-para-incluir-un-articulo-que-ya-existe.html</t>
  </si>
  <si>
    <t>Zegarra-Schwark</t>
  </si>
  <si>
    <t>Sánchez comunica al PSOE dos fechas para las elecciones y mayo es la más probable</t>
  </si>
  <si>
    <t>http://j.mp/2Qllyu7</t>
  </si>
  <si>
    <t>Lino</t>
  </si>
  <si>
    <t>Entre Pedro Sánchez de Presidente, Ibex en 10.100 ptos aprox. 6 meses después, 8.868 ptos. Ahí lo dejo</t>
  </si>
  <si>
    <t>Gainesville, FL</t>
  </si>
  <si>
    <t>Últimas noticias tras la sentencia de la Gürtel en directo: El líder del PSOE, Pedro Sánchez, está estudiando la posibilidad de presentar una moción de censura contra el presidente del Gobierno, Mariano Rajo… copyright © 2018</t>
  </si>
  <si>
    <t>http://dlvr.it/Qt3H7P</t>
  </si>
  <si>
    <t>https://pbs.twimg.com/media/Dtz1wOLU0AAfJPn.jpg</t>
  </si>
  <si>
    <t>Consumer Credit Counseling in Turkey Creek Forest, Gainesville, FL 32653, USA call (800) 254-4100 https://www.facebook.com/1604312529864352/videos/vb.1604312529864352/1965030107125924/?type=3&amp;theater https://www.google.com/maps/d/viewer?mid=12xVDAgaq5v8HQXBsi6OEuUSKosQ&amp;usp=sharing</t>
  </si>
  <si>
    <t>https://www.facebook.com/1604312529864352/videos/vb.1604312529864352/1965030107125924/?type=3&amp;theater</t>
  </si>
  <si>
    <t>Sole</t>
  </si>
  <si>
    <t>Viendo esto, se entiende como muchos "barones", cargos electos (concejales, consejeros socialistas de la época de González) tienen en las RRSS esos perfiles tan "neoliberales" que cargan contra Pedro Sánchez 😱 RT @MalditoDato: Felipe González creó una paga vitalicia para expresidentes que no necesita justificación con la que ha ingresado casi 2 millones de euros. Nos han dicho siempre que era "para oficina" pero la realidad es que no deben justificar el dinero que reciben.</t>
  </si>
  <si>
    <t>https://twitter.com/MalditoDato/status/1070982724591206400
https://maldita.es/malditodato/gonzalez-creo-una-paga-vitalicia-para-expresidentes-que-no-necesita-justificacion-con-la-que-ha-ingresado-casi-2-millones-de-euros/</t>
  </si>
  <si>
    <t>Maspalomas</t>
  </si>
  <si>
    <t>Apasionada del dcho.laboral y la economía,ahora en intervención #Maspalomas #Kalmar #lpgc #sbt #UdPalmas #Boletines #presupuestos #viajar 🌍🛩️🛥 🏖️🌊 🌞</t>
  </si>
  <si>
    <t>Karmen S</t>
  </si>
  <si>
    <t>El 'palo' de Rosa Díez a Pedro Sánchez a cuenta de Vox  Esta pobre mujer se le fue la olla hace mucho tiempo</t>
  </si>
  <si>
    <t>Cuando el amor cura las heridas las cicatrices son preciosas</t>
  </si>
  <si>
    <t>Sevilla 24 horas</t>
  </si>
  <si>
    <t>Rumores en Ferraz, los susánidas y su jefa podrían acabar currando como ‘obreros’  Tras el trompazo de Susana Díaz en las elecciones andaluzas que otorgan el gobierno a la derecha, Pedro Sánchez quiere renovar el liderazgo del PSOE andaluz y dar salida a…</t>
  </si>
  <si>
    <t>https://ift.tt/2PnQWTh</t>
  </si>
  <si>
    <t>Diario digital con noticias de Sevilla, Andalucía y el mundo</t>
  </si>
  <si>
    <t>http://www.sevilla24horas.com</t>
  </si>
  <si>
    <t>Spain / Italy PI</t>
  </si>
  <si>
    <t>Abucheos a Pedro Sánchez y aplausos a Mariano Rajoy ayer en el 40 Aniversario de la…</t>
  </si>
  <si>
    <t>https://goo.gl/fb/ssP6is</t>
  </si>
  <si>
    <t>Netherlands</t>
  </si>
  <si>
    <t>Notizie politicamente scorrette / noticias políticamente incorrectas</t>
  </si>
  <si>
    <t>https://voiceofeurope.com/</t>
  </si>
  <si>
    <t>🌹Consuelo G. ☀️😎</t>
  </si>
  <si>
    <t>Matanza de Atocha: Sánchez celebra la detención del ultra García Juliá, autor de la matanza de Atocha: "La democracia siempre vence a sus enemigos" - Público</t>
  </si>
  <si>
    <t>Alcorcón, Comunidad de Madrid</t>
  </si>
  <si>
    <t>Los sueños son sumamente importantes, nada se hace sin que antes se imagine</t>
  </si>
  <si>
    <t>http://Instagram.com/consu_gf</t>
  </si>
  <si>
    <t>JoseArturo💯🦇Andrés✏️ ﻥ</t>
  </si>
  <si>
    <t>✝️Católico 🇪🇸Español👍 Valenciano💙💛❤️ ✌️y Valencianista💯%🦇AMUNT! En contra de sepaRATAS y rojelio$. #EspañaViva @vox_es Autodidacta en JA2jados®️</t>
  </si>
  <si>
    <t>Semana Santa Linares</t>
  </si>
  <si>
    <t>Desde estas líneas lamentamos profundamente la pérdida de Luis Pedro Sánchez, presidente de la Asociación de Comerciantes e Industriales de Linares. Todo nuestro apoyo y ánimo a los familiares y amigos de una persona tan querida en la ciudad. DEP vía AgrHHCCLinares</t>
  </si>
  <si>
    <t>Twitter sobre #SemanaSantaLinares creado el 3/mar/2013. | Web creada en 1998, actualmente en proceso de reconstrucción. | Semanal: https://paper.li/SemanaSaLinares/1362266729.</t>
  </si>
  <si>
    <t>http://semanasanta.lynares.com</t>
  </si>
  <si>
    <t>Mary Carmen Pedregal</t>
  </si>
  <si>
    <t>Pedro Sánchez ha ofrecido a Torras y a Junqueras el acuerdo de que si apoyan los presupuestos, retirarán de toda Cataluña a la Guardia Civil y a la Policía Nacional. Ante esta barbaridad y traición, pásalo para que toda España sepa lo que este hombre es capaz..</t>
  </si>
  <si>
    <t>Os imagináis una constitución elaborada por los políticos de ahora:Iglesias, rufián, casado, pedro Sánchez, abascal, Puigdemont, etc. Pues eso</t>
  </si>
  <si>
    <t>DR HACKEMBUSH💯💙❤️💛🦇</t>
  </si>
  <si>
    <t>Valenciano , Español y no soporto a las 🐀🐀 pancas . 💙❤️💛🦇💯</t>
  </si>
  <si>
    <t>Alberto Picatoste 🇪🇸</t>
  </si>
  <si>
    <t>No es Santo de mi devoción esta sra pero aquí lo borda. #recomendar El 'palo' de Rosa Díez a Pedro Sánchez a cuenta de Vox</t>
  </si>
  <si>
    <t>LOGROÑO - LA RIOJA - SPAIN</t>
  </si>
  <si>
    <t>Director de @plannercongress Miembro Junta Directiva de @opcspain #OPC #PROTOCOLO Pero aquí DIGO LO Q PIENSO aunque NO TODO LO Q PIENSO. Puedes llamarme πκ</t>
  </si>
  <si>
    <t>https://www.plannercongresos.com</t>
  </si>
  <si>
    <t>Sumarium</t>
  </si>
  <si>
    <t>#VIDEO Abucheos para Sánchez y aplausos para la familia real: así fue la llegada al Congreso español</t>
  </si>
  <si>
    <t>https://bit.ly/2Sx3CJn</t>
  </si>
  <si>
    <t>https://pbs.twimg.com/media/DtwLiihWwAc9UPx.jpg</t>
  </si>
  <si>
    <t>Venezuela / España (+34 657821628)</t>
  </si>
  <si>
    <t>http://www.sumarium.es</t>
  </si>
  <si>
    <t>Ignacio Díaz</t>
  </si>
  <si>
    <t>La Pandereta Nacional a escena!!!!!</t>
  </si>
  <si>
    <t>San Juan de la Palma</t>
  </si>
  <si>
    <t>Morante y Cofradías, Cofradías y Morante, el orden de los factores no altera el resultado.</t>
  </si>
  <si>
    <t>Javier Rodriguez</t>
  </si>
  <si>
    <t>Torra es ya un Terrorista. Ordena a los Mossos que permitan los ataques violentos contra los opositores a su ideología. A que espera Pedro Sánchez a un despliegue del ejército y aplicar 155. Es cómplice necesario para los Terroristas.</t>
  </si>
  <si>
    <t>Siempre la verdad aunque duela. Luchador contra las dictaduras totalitarias y demagogos.</t>
  </si>
  <si>
    <t>jalocu1960</t>
  </si>
  <si>
    <t>JuanMa Yedra</t>
  </si>
  <si>
    <t>Ser ESPAÑOL, hoy día, a algunos les molesta, a lo mejor tendría que ser francés o alemán para que esos apátridas no se sientan ofendidos....¡un mojón!</t>
  </si>
  <si>
    <t>Ana Urcelay Soláns</t>
  </si>
  <si>
    <t>.😂😂😂😂😂😂 Ridículo apoteósico: Pedro Sánchez pide reformar la Constitución para incluir un artículo․.. que ya existe. @sanchezcastejon  vía @MediterraneoDGT</t>
  </si>
  <si>
    <t>Militante VOX// Delegada STOPSucesiones Huesca//Miembro AMEPHU Asoc Mujeres Empresarias// De Sept'14 a Dic'16 Presidente VOX Zaragoza</t>
  </si>
  <si>
    <t>http://www.ovb.es</t>
  </si>
  <si>
    <t>PEPE</t>
  </si>
  <si>
    <t>El 'palo' de Rosa Díez a Pedro Sánchez a cuenta de Vox en @HerreraenCOPE</t>
  </si>
  <si>
    <t>Rafa9 󾓫  #SéTúMismo</t>
  </si>
  <si>
    <t>Que ni sepa esto.... Quiere reescribir la Constitución.... tipo tesis. Ridículo apoteósico: Pedro Sánchez pide reformar la Constitución para incluir un artículo․.. que ya existe  vía @MediterraneoDGT</t>
  </si>
  <si>
    <t>Orgulloso d ser español 󾓫 y así lo demuestro. Lucho x mis ideales,valores y principios.Creo q hay personas maravillosas. Me gusta el misterio 👻 y la 🎼</t>
  </si>
  <si>
    <t>Juan Carlos Peiro</t>
  </si>
  <si>
    <t>Medico especialista en Anestesiologia y Cuidados Intensivos, militar retirado, veterano misiones especiales.</t>
  </si>
  <si>
    <t>Som! Granollers</t>
  </si>
  <si>
    <t>http://a.msn.com/01/es-es/BBQBgLx?ocid=st</t>
  </si>
  <si>
    <t>somgranollers.wordpress.com</t>
  </si>
  <si>
    <t>Per un Granollers participatiu, transparent i sostenible. Twitter exclussiu de contingut polític.</t>
  </si>
  <si>
    <t>http://flavors.me/soulsurfer2013</t>
  </si>
  <si>
    <t>Vicente Brisa</t>
  </si>
  <si>
    <t>Reservar 100 Kg para Podemos y otros tantos para Pedro Sanchez en su Falcon!Que menos para estos “defensores” del pueblo. Se merecen esto y unos kg de Langosta y percebes. El comunismo y socialismo en su pura esencia, empobrece al pueblo para el enriquecimiento de sus dirigentes RT @abc_es: Angulas por más de 1.100 euros el kilo a las puertas de la Navidad</t>
  </si>
  <si>
    <t>https://twitter.com/abc_es/status/1070993824074346497
http://ver.abc.es/8eiez1</t>
  </si>
  <si>
    <t>Boadilla del Monte, España</t>
  </si>
  <si>
    <t>🇪🇸🇪🇸🇪🇸Urge en España un gobierno firme, solidario, unido, eficaz, limpio para todos los españoles por igual!!! Por eso: VOX!!!!</t>
  </si>
  <si>
    <t>Sector Cero</t>
  </si>
  <si>
    <t>http://bit.ly/2E3C3nf</t>
  </si>
  <si>
    <t>https://pbs.twimg.com/media/DtzwZ4EXQAETvsE.jpg</t>
  </si>
  <si>
    <t>Almería</t>
  </si>
  <si>
    <t>En algún lugar de Internet</t>
  </si>
  <si>
    <t>Encuentra las mejores noticias de tecnología y telefonía móvil en un sólo lugar.</t>
  </si>
  <si>
    <t>Diario del Ozama</t>
  </si>
  <si>
    <t>Alemania y España darán un apoyo explícito al Pacto Migratorio con la presencia en Marrakech de la canciller alemana Angela Merkel y del presidente del Gobierno español, Pedro Sánchez.</t>
  </si>
  <si>
    <t>Santo Domingo de Guzman, R .D.</t>
  </si>
  <si>
    <t>Noticias, comentarios, reportajes, curiosidades y opiniones.</t>
  </si>
  <si>
    <t>http://diariodelozama.blogspot.com/?m=1</t>
  </si>
  <si>
    <t>Salva Tovar Funes</t>
  </si>
  <si>
    <t>vía @Confidencial Digital</t>
  </si>
  <si>
    <t>https://www.elconfidencialdigital.com/articulo/politica/pedro-sanchez-amenaza-susana-diaz-repetir-operacion-acabo-tomas-gomez/20181205184900119027.html&amp;utm_source=social&amp;utm_medium=twitter&amp;utm_campaign=share_button</t>
  </si>
  <si>
    <t>Regidor del Ayuntamiento de Sta Coloma de Gramenet y Portavoz de Cs en la Diputación de Barcelona. Trabajando por y para los ciudadanos. Abogado e historiador</t>
  </si>
  <si>
    <t>Sergio Parra</t>
  </si>
  <si>
    <t>https://ift.tt/2RGItwm</t>
  </si>
  <si>
    <t>En @xatakaciencia @muyinteresante, @diarioviajero @JotDownSpain @YorokobuMag http://elobservadordelabelleza.com CV: http://ciclistasdesofa.wordpress.com/el-autor/</t>
  </si>
  <si>
    <t>http://about.me/sergioparra</t>
  </si>
  <si>
    <t>InfoLinares.com</t>
  </si>
  <si>
    <t>Desde  lamentamos la pérdida de Luis Pedro Sánchez, presidente de ACIL</t>
  </si>
  <si>
    <t>http://Infolinares.com
http://www.infolinares.com/desde-infolinares-com-lamentamos-la-perdida-de-luis-pedro-sanchez-presidente-de-acil/</t>
  </si>
  <si>
    <t>https://pbs.twimg.com/media/DtzvvzxU4AArBS4.jpg</t>
  </si>
  <si>
    <t>“Info Linares” Es la web con toda la información de tu ciudad. ¡Visitanos!</t>
  </si>
  <si>
    <t>http://infolinares.com</t>
  </si>
  <si>
    <t>Juan José Mateo</t>
  </si>
  <si>
    <t>La burbuja por explotar en la A-1: las negociaciones entre Pedro Sánchez y Ángel Garrido para mejorar la carretera alimentan las expectativas inmobiliarias de los pueblos de la zona  vía @el_pais</t>
  </si>
  <si>
    <t>https://elpais.com/ccaa/2018/12/06/madrid/1544120991_643742.html?id_externo_rsoc=TW_CC</t>
  </si>
  <si>
    <t>Pronador Land</t>
  </si>
  <si>
    <t>Periodista | Coautor del libro Prohibido Gritar con @mairacabrini | http://www.turpial.com/home/catalogo/prohibido-gritar-el-valor-del-deporte-en-la-educacion/ | Contacto: jjmateo@elpais.es</t>
  </si>
  <si>
    <t>http://www.prohibidogritar.strikingly.com/</t>
  </si>
  <si>
    <t>RTn #Viral</t>
  </si>
  <si>
    <t>#Viral magnet_es Pedro Sánchez quiere incluir la igualdad de hombres y mujeres en la Constitución. Pero ya aparece</t>
  </si>
  <si>
    <t>https://pbs.twimg.com/media/DtzvtSYXQAE-Clv.jpg</t>
  </si>
  <si>
    <t>Noticias #virales de la red, lo que más se comparte y se comenta en #twitter y #facebook #viral</t>
  </si>
  <si>
    <t>http://triangol.agency</t>
  </si>
  <si>
    <t>Blogs_es</t>
  </si>
  <si>
    <t>Magnet - Pedro Sánchez quiere incluir la igualdad de hombres y mujeres en la Constitución. Pero ya aparece</t>
  </si>
  <si>
    <t>https://pbs.twimg.com/media/Dtzve9LXcAARTah.jpg</t>
  </si>
  <si>
    <t>Darío Mateos</t>
  </si>
  <si>
    <t>Pedro Sánchez confía en quedarse con el centro político de cara al nuevo ciclo electoral  Vía @eldairioes</t>
  </si>
  <si>
    <t>https://pbs.twimg.com/media/DtzvRUqXcAAK6HR.jpg</t>
  </si>
  <si>
    <t>Entre Granada y Galicia</t>
  </si>
  <si>
    <t>Soy un Terminator, pero buena gente. Todo metal blandito, de izquierda, republicano, feminista y ateo.</t>
  </si>
  <si>
    <t>https://pbs.twimg.com/media/DtzvQRlX4AAeIp3.jpg</t>
  </si>
  <si>
    <t>Joselus</t>
  </si>
  <si>
    <t>Sobre la legitimidad de Pedro Sanchez como Presidente de Gobierno : Legitimidad plena Elegido por mayoria absoluta tras presentar una moción de censura</t>
  </si>
  <si>
    <t>cuestin</t>
  </si>
  <si>
    <t>Pedro Sánchez amenaza a Susana Díaz con repetir la operación que acabó con Tomás Gómez.</t>
  </si>
  <si>
    <t>https://www.elconfidencialdigital.com/articulo/politica/pedro-sanchez-amenaza-susana-diaz-repetir-operacion-acabo-tomas-gomez/20181205184900119027.html</t>
  </si>
  <si>
    <t>Las televisiones no publican lo qué está ocurriendo porque Pedro Sánchez y Pablo Yglesias no permiten que nadie pueda criminalizar todos estos hechos . Pasar el vídeo que nos enteramos que lo que están cometiendo los separatistas. RT @Bcnisnotcat_: ¡¡ATENCIÓN!! Pedimos ayuda a toda #España. Los separatistas están provocando altercados en toda Cataluña. Han escogido el día de la Constitución para tomar las calles. Los medios lo silencian. Ya no podemos más. EXIJIMOS QUE SE APLIQUE EL ARTÍCULO 155. A qué espera el presidente?</t>
  </si>
  <si>
    <t>Agr Nineta</t>
  </si>
  <si>
    <t>https://www.youtube.com/watch?v=fNkyCYCTeWE</t>
  </si>
  <si>
    <t>Me preocupa el estado de corrupción. https://angomrue.wordpress.com/ https://www.youtube.com/channel/UCOKdIN4jTaTefA-0bw2p49Q</t>
  </si>
  <si>
    <t>https://twiter.com/agrnineta</t>
  </si>
  <si>
    <t>Sin duda los españoles apoyan de forma unánime a Pedro Sánchez...</t>
  </si>
  <si>
    <t>VH</t>
  </si>
  <si>
    <t>puerto montt.chile</t>
  </si>
  <si>
    <t>PATRIOTA DE VERDAD,SIN MIEDOS,ESTE ES DE COBARDES,AHORA HAY QUE IR CONTRA LOS USURPADORES Y APATRIDAS, Y CUBANOS</t>
  </si>
  <si>
    <t>http://page.is/vh</t>
  </si>
  <si>
    <t>Tú Pedro Sánchez " El míserable traídor dé España no engañas ya ni alas moscas , así que convoca elecciones porque tú tiempo en Moncloa ya es caducidad , TIC TAC TIC TAC .Fuera Inepto das Vergüenza por donde pisas . RT @mimariban: B Diaz. Ninguno de los grupos q te apoya #OkupaSanchez estuvo presente en el Parlamento en los discursos del Rey por La CE, salvo Podemos, IU, q hicieron el ridículo Convoca #EleccionesGeneralesYa 🇪🇸 @sanchezcastejon, no engañes mas. Al Pueblo lo suyo, rey</t>
  </si>
  <si>
    <t>https://twitter.com/mimariban/status/1070971135599276033
https://okdiario.com/espana/2018/12/06/congreso-pie-aplaude-entrada-del-rey-emerito-salvo-diputados-podemos-3435002/amp</t>
  </si>
  <si>
    <t>https://pbs.twimg.com/media/DtzaiZUXcAAFPZl.jpg</t>
  </si>
  <si>
    <t>http://chng.it/yfHzS9Fp</t>
  </si>
  <si>
    <t>EL QUE LA HACE LA PAGA</t>
  </si>
  <si>
    <t>Sánchez, abucheado durante varios minutos: "¡Convoca elecciones!"  vía @libertaddigital</t>
  </si>
  <si>
    <t>https://www.libertaddigital.com/espana/politica/2018-12-06/abuheo-general-a-pedro-sanchez-convoca-elecciones-1276629479/</t>
  </si>
  <si>
    <t>TOP SECRET</t>
  </si>
  <si>
    <t>dani nieve</t>
  </si>
  <si>
    <t>Abucheos y pitos a Pedro Sánchez a las puertas del Congreso en el 6-D -</t>
  </si>
  <si>
    <t>http://tinyurl.com/yd5gkqqh</t>
  </si>
  <si>
    <t>García Egea: “Si no sabe defender a España con el art. 1 de la Constitución… no le pidamos llegar al art. 14”. #40AñosDeConstitución Sánchez pide incluir en la Constitución la igualdad entre hombres y mujeres... ¡que ya está en el art. 14 desde 1978!</t>
  </si>
  <si>
    <t>https://okdiario.com/espana/2018/12/07/pedro-sanchez-reformar-constitucion-incluir-igualdad-hombres-mujeres-articulo-14-desde-hace-40-anos-3437620#.XApNLoZL-T0.twitter</t>
  </si>
  <si>
    <t>cris romate</t>
  </si>
  <si>
    <t>#TiempodePactosARV Resultados de Andalucía.: Vox ha aparecido gracias a Pedro Sánchez y Pablo Iglesias por no celebrar elecciones después de la moción de censura. Cada día que pase más votantes de vox.</t>
  </si>
  <si>
    <t>Maria Maria</t>
  </si>
  <si>
    <t>🔴El público presente en C. d San Jerónimo viendo la llegada d los invitados,abuchearon al NOPRESIDENTE #Sánchez expresidente #ZP y al NOministro d Justicia,#Marlaska y tb recibidos con gritos d fuera, fuera‼️Y a éstos sinvergüenzas se la pela,TODO vale🤬</t>
  </si>
  <si>
    <t>https://www.20minutos.es/noticia/3510387/0/abucheos-pedro-sanchez-congreso-aniversario-constitucion/</t>
  </si>
  <si>
    <t>BCN-Vigo-Santiago-Reino d 🇪🇸</t>
  </si>
  <si>
    <t>El comunismo siempre enseña una cara amable,que oculta la maldad que encierra su ideología ...Mientras besa mata!! #AsesinosConPoder</t>
  </si>
  <si>
    <t>RElorrieta</t>
  </si>
  <si>
    <t>http://www.citizengo.org/hazteoir/pc/166961-pedro-sanchez-vende-guardia-civil?tc=tw&amp;tcid=52565403</t>
  </si>
  <si>
    <t>Me gusta Bruce Springsteen y harto de Partitocracia</t>
  </si>
  <si>
    <t>Ni siquiera llega a tonto util de pose, no sirve para nada, no da mas de si.</t>
  </si>
  <si>
    <t>El 'palo' de Rosa Díez @rosadiezglez a Pedro Sánchez @sanchezcastejon a cuenta de @vox_es en @HerreraenCOPE</t>
  </si>
  <si>
    <t>http://ww.cope.es/zofr62</t>
  </si>
  <si>
    <t>Bart</t>
  </si>
  <si>
    <t>libertad es poder decir que dos y dos son cuatro,admitido eso se deduce todo lo demás.</t>
  </si>
  <si>
    <t>Populares Canarias 🇮🇨</t>
  </si>
  <si>
    <t>📰 El Partido Popular de Canarias pedirá explicaciones en el Senado por la ausencia de Pedro Sánchez en la conferencia de presidentes de las RUP. (@eldia,@jorgerodpe)</t>
  </si>
  <si>
    <t>http://www.eldia.es/canarias/2018-12-07/6-Critican-Sanchez-estuviera-foro-RUP.htm</t>
  </si>
  <si>
    <t>Islas Canarias</t>
  </si>
  <si>
    <t>Cuenta Oficial del Partido Popular de Canarias.</t>
  </si>
  <si>
    <t>http://www.pp.es</t>
  </si>
  <si>
    <t>Beatriz</t>
  </si>
  <si>
    <t>Pedro Sánchez gobierna con el apoyo de la 'ultraizquierda', los argumentos que dio ofendieron su inteligencia, Almudena Grandes? #Vox #FelizFinde #Mossos mossos Girona y Terrassa Gerona y Tarrasa RT @La_SER: Almudena Grandes, en @HoyPorHoy: "Al pactar con Vox, Moreno Bonilla pactará con la ultraderecha. Tiene derecho a hacerlo, pero los argumentos con los que intenta engañarnos ofenden a nuestra inteligencia" →</t>
  </si>
  <si>
    <t>https://twitter.com/La_SER/status/1070964425304219649
http://cadenaser.com/programa/2018/12/07/hoy_por_hoy/1544162045_240466.html</t>
  </si>
  <si>
    <t>pic.twitter.com/fGx6x0dPPE</t>
  </si>
  <si>
    <t>Cuando soy buena, soy muy buena; cuando soy mala, soy mucho mejor. #Española y #vasca. Muy fan de #Tabarnia</t>
  </si>
  <si>
    <t>Newsss15</t>
  </si>
  <si>
    <t>Abucheos a Pedro Sánchez  via @elmundoes</t>
  </si>
  <si>
    <t>Madrid Manchester Dublin Sevilla</t>
  </si>
  <si>
    <t>Noticias News</t>
  </si>
  <si>
    <t>No se trata de aprender a dialogar Sr @JosepBorrellF ... sino de dialogar con aquellos que defienden los valores constitucionales y no con los filoterroristas, separatistas o antisistema que quieren eliminarla... Justo lo contrario que hace su jefe de filas Pedro Sánchez. Así no! RT @JosepBorrellF: Como nos recordó F. González, no se puede apelar a la democracia contra las reglas establecidas por la propia democracia. Con una mayoría simple no se pueden derogar el Estatut de Cataluña, la Constitución y el resto de ordenamiento jurídico. Hay que volver a aprender a dialogar.</t>
  </si>
  <si>
    <t>https://twitter.com/josepborrellf/status/1069975739410337792</t>
  </si>
  <si>
    <t>pic.twitter.com/Xembbx9AO1</t>
  </si>
  <si>
    <t>🇪🇸Juan Ignacio Medina🇪🇸</t>
  </si>
  <si>
    <t>Pedro Sanchez no puede quedarse impasible ante la defensa de la violencia por parte de Torra y la criminalización de los que nos defienden de los violentos. #155Ya @mossos @sanchezcastejon @pablocasado_ @Santi_ABASCAL @LuisAlfBorbon</t>
  </si>
  <si>
    <t>https://www.abc.es/espana/catalunya/politica/abci-crisis-gobierno-quim-torra-cargas-mossos-contra-201812071046_noticia.html</t>
  </si>
  <si>
    <t>Madrid, ESPAÑA</t>
  </si>
  <si>
    <t>Autodesk Flame and Nuke operator. VFX. Orgulloso de ser Español.🇪🇸</t>
  </si>
  <si>
    <t>http://www.imdb.com/name/nm2038728/</t>
  </si>
  <si>
    <t>Los Fosfonautas📻🇪🇸</t>
  </si>
  <si>
    <t>El 'palo' de @RosaDiezglez a Pedro @Sanchezcastejon a cuenta de @Vox_es</t>
  </si>
  <si>
    <t>https://www.cope.es/a/591495</t>
  </si>
  <si>
    <t>Perfil de los Fosfonautas, Fans de @CarlosHerreracr y su programa @HerreraenCOPE https://www.facebook.com/Fosfonautascarlosherrera/</t>
  </si>
  <si>
    <t>http://losfosfonautas.blogspot.com.es/</t>
  </si>
  <si>
    <t>freddyzur</t>
  </si>
  <si>
    <t>Abucheos para Pedro Sánchez y aplausos para la familia real: la llegada al Congreso español</t>
  </si>
  <si>
    <t>http://bit.ly/2Sx3CJn</t>
  </si>
  <si>
    <t>https://pbs.twimg.com/media/DtzpkcIW0AElD3U.jpg</t>
  </si>
  <si>
    <t>EL PROBLEMA DE LATINOAMERICA ES QUÉ QUIENES ELIGEN A LOS GOBERNANTES NO SON LAS PERSONAS QUE LEEN LOS PERIÓDICOS SI NO LAS QUE SE LIMPIAN EL CULO CON ELLOS.</t>
  </si>
  <si>
    <t>LibertadLamor</t>
  </si>
  <si>
    <t>Aravaca</t>
  </si>
  <si>
    <t>Coherente conmigo misma y respetuosa con los demas</t>
  </si>
  <si>
    <t>Incompetente, ignorante, plagiario. Inútil peligroso. Sánchez pide incluir en la Constitución la igualdad entre hombres y mujeres... ¡que ya está en el art. 14 desde 1978!  vía @okdiario</t>
  </si>
  <si>
    <t>Puerto de la Cruz</t>
  </si>
  <si>
    <t>2018-12-07 Andalucía 2D Elecciones 2018. Rubén Amón: La decapitación fallida de Susana Díaz. Pedro Sánchez no logra vengar la debacle andaluza con el remedio de la cabeza de la presidenta PSOE</t>
  </si>
  <si>
    <t>https://elpais.com/elpais/2018/12/06/opinion/1544088368_944892.amp.html?id_externo_rsoc=TW_CC&amp;__twitter_impression=true</t>
  </si>
  <si>
    <t>Libertad, igualdad, unidad, diversidad, autogobierno y gobierno compartido. En concreto: Federalismo plurinacional. Con tiempo, la utopía es realidad</t>
  </si>
  <si>
    <t>Laboralisto</t>
  </si>
  <si>
    <t>Pues no se vosotros, pero yo me he levantado con resaca de la fiesta de ayer. Pasa siempre cuando "mezclas", y claro, entre la chorrada de Alberto Garzón, la de Pedro Sánchez, la d los golpistas, tengo un dolor de cabeza... Voy a leer la Constitución un rato, a ver si me recupero</t>
  </si>
  <si>
    <t>Abogado, Graduado Social. Lee la ley todos los días, porque por las noches las comas se mueven. Opiniones propias y personales.</t>
  </si>
  <si>
    <t>JC Arny</t>
  </si>
  <si>
    <t>Pedro Sánchez, sobre la posibilidad de elecciones en marzo: "Seguiremos trabajando y gobernando"</t>
  </si>
  <si>
    <t>https://paper.li/jc_karnak23/1421836371?read=https%3A%2F%2Fwww.eldiario.es%2Fpolitica%2FPedro-Sanchez-posibilidad-elecciones-Seguiremos_0_843416005.html</t>
  </si>
  <si>
    <t>Mijas (Málaga) - España</t>
  </si>
  <si>
    <t>Fotógrafo, Libertario, Racional. LIBERTAD, IGUALDAD Y JUSTICIA no pueden ser Censuradas ni Manipuladas,</t>
  </si>
  <si>
    <t>fabiola navarro</t>
  </si>
  <si>
    <t>Atocha ??? Cuándo se van a resolver los asesinatos de ETA q quedan pendientes??? Ah, eso no importa, verdad Pedro Sánchez ??? VETE A LA MIERDA!!! YA TIENES TU PAGUITA ASEGURADA!!!!</t>
  </si>
  <si>
    <t>🇪🇸 ABSTENERSE COMUNISTAS 🐈 No me molesto en contestar, solo bloqueo. ASCO DE CORRUPTOS DE IZQUIERDAS Y DERECHAS! Vallisoletana y madrileña. #HALAMADRID</t>
  </si>
  <si>
    <t>Pao is here.</t>
  </si>
  <si>
    <t>El okupa es abucheado en cada acto público al que acude en España (que son los mínimos: día de las fuerzas armadas, día de la Constitución...), por eso prefiere dar la vuelta al mundo en el Falcon o estar escondido, y no convoca elecciones.</t>
  </si>
  <si>
    <t>Española y europea. FUCK UE. Ilegales NOT welcome. Es peligroso tener razón cuando el gobierno está equivocado. SPQR. 🇸🇾 2018. No DMs. Antifeminista. Fase Rom.</t>
  </si>
  <si>
    <t>AngelR</t>
  </si>
  <si>
    <t>Pedro Sánchez amenaza a Susana Díaz con repetir la operación que acabó con Tomás Gómez  vía @ecd_</t>
  </si>
  <si>
    <t>Pedro Sánchez confía en quedarse con el centro político de cara al nuevo ciclo electoral: cree que un acuerdo de PP y Ciudadanos con Vox en Andalucía le dará más espacio en la "moderación"</t>
  </si>
  <si>
    <t>ITS Duero</t>
  </si>
  <si>
    <t>Mientras disfrutamos del puente, puedes echarle un vistazo a este post donde te contamos que el obligará a las empresas a registrar la jornada de sus empleados 🕗 y te proponemos una solución.</t>
  </si>
  <si>
    <t>http://www.itsduero.es/blog/index.php/2018/11/el-gobierno-de-pedro-sanchez-obligara-a-las-empresas-a-registrar-la-jornada-que-realice-cada-empleado/</t>
  </si>
  <si>
    <t>Soria</t>
  </si>
  <si>
    <t>Soluciones y asesoramiento informático experto en diseño web, #ecommerce, software de gestión, aplicaciones móviles y sistemas.</t>
  </si>
  <si>
    <t>http://www.itsduero.es</t>
  </si>
  <si>
    <t>wysyq</t>
  </si>
  <si>
    <t>GUERRA CIVIL EN CATALUÑA. Gracias, Pedro Sánchez, @PSOE, @miqueliceta RT @Bcnisnotcat_: Aquí un ejemplo de los pacíficos independentistas en Gerona. ¿Recordáis las palabras del president @QuimTorraiPla? -"Apretar, hacéis bien apretar"- Luego se extrañarán de por qué ciertos partidos aumentan en votos. Esto no hay quien lo aguante. Así no se puede vivir.</t>
  </si>
  <si>
    <t>https://twitter.com/bcnisnotcat_/status/1070766255425142787</t>
  </si>
  <si>
    <t>**** CONTRA LA RAZÓN BUENISTA ****</t>
  </si>
  <si>
    <t>http://www.c3c.es/index.htm</t>
  </si>
  <si>
    <t>Iker Itoiz Ciáurriz</t>
  </si>
  <si>
    <t>Lo de los votantes de "centro" veremos  vía @eldiarioes</t>
  </si>
  <si>
    <t>Navarra-Madrid-Edimburgo</t>
  </si>
  <si>
    <t>Historian and Political Scientist. LGTBI+ . PhD candidate at the University of Edinburgh. The Dream of the October Revolution</t>
  </si>
  <si>
    <t>https://www.ed.ac.uk/profile/iker-itoiz-ciaurriz</t>
  </si>
  <si>
    <t>💫 Ismael Escuín 💫</t>
  </si>
  <si>
    <t>🗞 La decapitación fallida de Susana Díaz Pedro Sánchez y Susana Díaz se reprochan el escarmiento de Andalucía, como si no fuera posible establecer una intersección de responsabilidades. Sánchez no logra vengar la debacle andaluza</t>
  </si>
  <si>
    <t>https://elpais.com/elpais/2018/12/06/opinion/1544088368_944892.html</t>
  </si>
  <si>
    <t>España, Europa, Mundo 🇪🇸🇪🇺</t>
  </si>
  <si>
    <t>Sólo el cambio perdura. Todo fluye, nada permanece. Heráclito. RNA Cs. 📲 Redes | 👉 Marketing</t>
  </si>
  <si>
    <t>https://youtu.be/C4hpa5dCKAo</t>
  </si>
  <si>
    <t>José Mª Palomeque</t>
  </si>
  <si>
    <t>¿ ES POSIBLE QUE LA TRAIDORA SUSANA DÍAZ HAYA PERDIDO ANDALUCÍA PARA VER SI PUEDE HACER FRACASAR A PEDRO SÁNCHEZ A NIVEL NACIONAL ? ESTAS SEMANASANTERAS, FERIANTAS, ROCÍERAS Y TORERAS ALBERGAN MUCHO ODIO Y RENCOR.</t>
  </si>
  <si>
    <t>Fuengirola, Andalucía</t>
  </si>
  <si>
    <t>Desencantado de este país.</t>
  </si>
  <si>
    <t>¿Cómo los partidos constitucionales, según Pedro Sánchez, Bildu, PNV, ERC, PDCAT, etc, no han asistido a conmemorar los 40 años de la Constitución? Este impresentable pretende seguir dirigiendo la nación. Da mal rollo y emite malas vibraciones.</t>
  </si>
  <si>
    <t>La confesión de Pedro Sánchez a Piqueras sobre el rey Felipe VI que destrona al PSOE  via @Periodistadigit</t>
  </si>
  <si>
    <t>https://www.periodistadigital.com/periodismo/tv/2018/12/05/la-confesion-de-pedro-sanchez-a-piqueras-sobre-el-rey-felipe-vi-que-destrona-al-psoe.shtml</t>
  </si>
  <si>
    <t>Mª Carmen Castiñeira</t>
  </si>
  <si>
    <t>Durísimo artículo de opinión. Es una realidad incuestionable, que la gran mayoría de la militancia andaluza que mostró su apoyo a Pedro Sánchez en las primarias, se sienten menospreciados, por la organización del partido.</t>
  </si>
  <si>
    <t>https://www.nuevatribuna.es/opinion/juan-antonio-molina/susana-diaz-decadencia-socialismo-andaluz/20181206105859158183.html</t>
  </si>
  <si>
    <t>http://www.carnavaldecadiz.com</t>
  </si>
  <si>
    <t>😇MIGUEL ANGEL👈</t>
  </si>
  <si>
    <t>Sánchez celebra la detención del ultra García Juliá, autor de la matanza de Atocha: 'La democracia siempre vence a sus enemigos'  vía @publico_es</t>
  </si>
  <si>
    <t>MAL gestada, MAL concebida, MAL parida, MAL nacida DEMOCRACIA... MAL vamos... Reservado Derecho Admisión. Abstenerse votantes PP-PSOE-C´S, y casta d AFORADOS.</t>
  </si>
  <si>
    <t>Navigator</t>
  </si>
  <si>
    <t>Failure is not an option. Freedom is not free.</t>
  </si>
  <si>
    <t>Alejandro Manzaneque</t>
  </si>
  <si>
    <t>Yo a ese no lo veo. Jordi Évole utiliza a los discapacitados de 'Campeones' para que exhiban su odio a Rajoy y elogien a Pedro Sánchez  vía @Periodistadigit</t>
  </si>
  <si>
    <t>https://www.periodistadigital.com/periodismo/tv/2018/10/22/jordi-evole-utiliza-a-los-discapacitados-para-que-exhiban-su-odio-visceral-a-rajoy-trump-y-a-la-banca.shtml</t>
  </si>
  <si>
    <t>Majadahonda</t>
  </si>
  <si>
    <t>Jubilado</t>
  </si>
  <si>
    <t>Nieves</t>
  </si>
  <si>
    <t>Se lo acabo de leer a mi hija pequeña, de ocho años, y lo ha comprendido perfectamente ( el art. 14😂)</t>
  </si>
  <si>
    <t>https://okdiario.com/espana/2018/12/07/pedro-sanchez-reformar-constitucion-incluir-igualdad-hombres-mujeres-articulo-14-desde-hace-40-anos-3437620#.XAojXsWVqMQ.whatsapp</t>
  </si>
  <si>
    <t>impartiendo justicia, e intentando ser justa, si me dejan....</t>
  </si>
  <si>
    <t>La hipocresía de Pedro Sánchez quedará en los anales de la historia. Un presidente que llega sin un programa conocido, aupado por partidos golpistas, comunistas y terroristas y que pretende mantenerse en el poder cediendo ante lis intereses de sus socios es un cáncer.</t>
  </si>
  <si>
    <t>Presidente Sanchez oyendo los aullidos de los facha-nazis es porque lo estas haciendo muy bien. ¡¡Bravo PSOE!! ¡¡Bravo Pedro!! ¡¡Bravo Gobierno!!</t>
  </si>
  <si>
    <t>José Carlos Molina</t>
  </si>
  <si>
    <t>Libertaddigital es el mayor panfleto escrito y EsRadio de Fedeguico el Glande la mayor bazofia oída en ningún punto del planeta. Los franquistas abuelos,...</t>
  </si>
  <si>
    <t>Badajoz</t>
  </si>
  <si>
    <t>Licenciado en Derecho. Licenciado en Geografía e Historia. Socialista de izquierdas, mitad español, mitad lusitano.</t>
  </si>
  <si>
    <t>http://josecarlosmolina.blogspot.com.es</t>
  </si>
  <si>
    <t>Antonio Medina</t>
  </si>
  <si>
    <t>Pedro Sánchez no garantiza convocar elecciones si los Presupuestos encallan  vía @diariosevilla Que hay que hacer para echar a este Okupa Traidor de la Moncloa?. Vamos a esperar que destroce mas a España de lo que ya está?. Sicopata del poder.</t>
  </si>
  <si>
    <t>https://www.diariodesevilla.es/_4de6c611</t>
  </si>
  <si>
    <t xml:space="preserve">Mairena del Aljarafe </t>
  </si>
  <si>
    <t>Autonomo toda la vida.Buena http://persona.De derechas,aficionado al futbol y los Toros. Exvotante del PP,ahora votaré VOX. Defiendo la Unidad de España. No Autonomias</t>
  </si>
  <si>
    <t>https://pbs.twimg.com/media/DtzkGViW0AA9OsU.jpg</t>
  </si>
  <si>
    <t>Solidari@s Sport</t>
  </si>
  <si>
    <t>Queremos manifestar nuestro más sentido pésame a familiares y amig@s de nuestro querido Luis Pedro Sánchez. Todo nuestro cariño y el recuerdo de su imborrable sonrisa. Muchos años de actividades, de...</t>
  </si>
  <si>
    <t>https://www.facebook.com/457016297665308/posts/2277893982244188/</t>
  </si>
  <si>
    <t>http://www.asociacionmundosolidariosport.org/</t>
  </si>
  <si>
    <t>Teresa Coll</t>
  </si>
  <si>
    <t>¿Se ha leído Sánchez la Constitución?: pide reformarla para incluir la igualdad entre hombres y mujeres  vía @libertaddigital ESTA CLARO : NO SABE LEER!!!!!</t>
  </si>
  <si>
    <t>Católica, Monárquica, de derechas y del R. Madrid.</t>
  </si>
  <si>
    <t>La chistera de Pedro Sánchez no tiene fondos, pero de ella sigue sacando conejos. Pese a la alta ...</t>
  </si>
  <si>
    <t>http://copiajuridica.es/2018/12/07/sanchez-aprueba-un-super-plan-de-empleo-juvenil-sin-tener-ni-un-euro-para-activarlo</t>
  </si>
  <si>
    <t>https://pbs.twimg.com/media/DtzlMizW4AAe40w.jpg</t>
  </si>
  <si>
    <t>eldiarionortenavarra</t>
  </si>
  <si>
    <t>http://ow.ly/egvQ30mTqNr</t>
  </si>
  <si>
    <t>https://pbs.twimg.com/media/Dtzk67CWsAA0pgI.jpg</t>
  </si>
  <si>
    <t>eldiarionorte · información cercana</t>
  </si>
  <si>
    <t>Según Pedro Sánchez, España está en condiciones de resolver la cuestión enquistada desde hace 300 años, en una posición de fortaleza que no habíamos tenido nunca  @elobrerodigital #TratadoUtrech #ConflictoGibraltarEspaña #DerechoDeAutodeterminación #Brexit</t>
  </si>
  <si>
    <t>https://elobrero.es/opinion/item/22079-tratado-de-utrecht-dos.html</t>
  </si>
  <si>
    <t>Rocío García.</t>
  </si>
  <si>
    <t>http://chng.it/bQgKgxC4</t>
  </si>
  <si>
    <t>«Pero aún así, cada uno de nosotros lleva dentro un gigante dormido, al héroe de su propia conciencia» John Senior.</t>
  </si>
  <si>
    <t>Cuando Pedro Sánchez quería que el CGPJ se eligiera por concurso público:  vía @mhemeroteca</t>
  </si>
  <si>
    <t>https://maldita.es/malditahemeroteca/cuando-pedro-sanchez-queria-que-el-cgpj-se-eligiera-por-concurso-publico/</t>
  </si>
  <si>
    <t>Pascual Cucala Mir</t>
  </si>
  <si>
    <t>LOS ALIADOS DE PEDRO SÁNCHEZ.</t>
  </si>
  <si>
    <t>https://pbs.twimg.com/media/Dtzkn-4WoAsLNA3.jpg</t>
  </si>
  <si>
    <t>CATIBERIC🐾🍁</t>
  </si>
  <si>
    <t>El supremo Torra, amenaza a Interior para que depure a los Mossos. Vamos a decir las cosas claras ya de una vez: Torra tenía que estar en prisión, acompañando a Pedro Sánchez, complice y máximo responsable de lo que ocurre en Cataluña.  vía @elespanolcom</t>
  </si>
  <si>
    <t>https://www.elespanol.com/espana/20181207/conseller-interior-amenaza-mossos-cdr-gerona-tarrasa/358964307_0.html</t>
  </si>
  <si>
    <t>CATALUÑA con Ñ ...y no hay más que hablar #WhiteWednesdays</t>
  </si>
  <si>
    <t>LA VERDAD SOBRE EL CASO FORUM Y AFINSA</t>
  </si>
  <si>
    <t>Seguiremos luchando por la JUSTICIA.</t>
  </si>
  <si>
    <t>https://www.lavanguardia.com/vida/20181206/453396743528/afectados-por-afinsa-y-forum-filatelico-abuchean-a-pedro-sanchez-frente-al-congreso.html</t>
  </si>
  <si>
    <t>AveriadosAve</t>
  </si>
  <si>
    <t>Pedro Sánchez ya le está haciendo la competencia a Podemos con las chorradas de los lobbys feministas.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</si>
  <si>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Hasta las narices de las mentiras y el postureo de la izquierda.</t>
  </si>
  <si>
    <t>Dani Álvarez</t>
  </si>
  <si>
    <t>El Presidente de la CEOE, Garamendi, dice que el gobierno de Pedro Sánchez no ha sido responsable al "condenar" el diésel, porque se está jugando con el empleo del sector. RT @Boulevardeitb: ▶️Antonio Garamendi [@CEOE_ES] sobre el gobierno de Sánchez y sus planes para el diésel: "Se están dando noticias de periódico de un día, sin valorar el daño; no es responsable hacer máximas y condenar una tecnología". 👇</t>
  </si>
  <si>
    <t>https://twitter.com/Boulevardeitb/status/1070979563554045952
https://www.eitb.eus/es/radio/radio-euskadi/programas/boulevard/detalle/6044322/antonio-garamendi-presidente-ceoe-critica-critica-anuncio-fin-diesel/</t>
  </si>
  <si>
    <t>pic.twitter.com/HvVyHcCdi7</t>
  </si>
  <si>
    <t>Not your typical news presenter. Egunero 7etatik-11etara @boulevardeitb @radioeuskadi - El lector de huesos en @euskaltelebista - Heavy Metal en @Metalbitacora</t>
  </si>
  <si>
    <t>http://www.eitb.com/es/radio/radio-euskadi/</t>
  </si>
  <si>
    <t>UREÑA ABOGADOS JAÉN</t>
  </si>
  <si>
    <t>VEO este video que cuelgan vecinos asustados en una Ciudad Española de Cataluña, y no me queda duda. PEDRO SÁNCHEZ es un #obstaculo para restablecer el Orden Constitucional. Hay que quitarlo VIA ELECCIONES y...</t>
  </si>
  <si>
    <t>https://www.facebook.com/sito.urena/posts/2520128681360629</t>
  </si>
  <si>
    <t>Ciudadano Mundo</t>
  </si>
  <si>
    <t>http://www.xn--ureaortegaabogados-p0b.com</t>
  </si>
  <si>
    <t>Pedro Sánchez descarta elecciones en marzo pero abre la puerta a mayo - Libertad Digital</t>
  </si>
  <si>
    <t>https://www.libertaddigital.com/espana/2018-12-06/pedro-sanchez-descarta-elecciones-en-marzo-pero-abre-la-puerta-a-mayo-1276629489/</t>
  </si>
  <si>
    <t>José Luis Peña</t>
  </si>
  <si>
    <t>Este Pedro Sánchez es más populista que el Papa. Pero no sabe que ya está contemplado la igualdad entre hombres y mujeres en la constitución. Con tal de llamar la atención es capaz de todo. Vuela Falconeti. Pandilla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</si>
  <si>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Somos Lanzarote</t>
  </si>
  <si>
    <t>El calendario de Pedro Sánchez confluye en el “superdomingo” electoral de mayo  Vía @cronicasdelanza</t>
  </si>
  <si>
    <t>http://dlvr.it/Qt3145</t>
  </si>
  <si>
    <t>Lanzarote, Canarias. España.</t>
  </si>
  <si>
    <t>Joven, ha llegado Somos Lanzarote #SomosLanzarote #SomosCanarias #Canarias</t>
  </si>
  <si>
    <t>Televisión Linares</t>
  </si>
  <si>
    <t>Televisión Linares lamenta la pérdida de Luis Pedro Sánchez, presidente de @AcilCca ACIL y nos unimos al dolor de familiares y amigos. DEP.</t>
  </si>
  <si>
    <t>https://pbs.twimg.com/media/DtzjoPqWwAATC8r.jpg</t>
  </si>
  <si>
    <t>Linares - España</t>
  </si>
  <si>
    <t>http://www.tvlinares.com/</t>
  </si>
  <si>
    <t>Candela #12.O# 🇪🇸ن</t>
  </si>
  <si>
    <t>De bobo solemne a memo solemne.. Sánchez pide incluir en la Constitución la igualdad entre hombres y mujeres... ¡que ya está en el art. 14 desde 1978!</t>
  </si>
  <si>
    <t>https://okdiario.com/espana/2018/12/07/pedro-sanchez-reformar-constitucion-incluir-igualdad-hombres-mujeres-articulo-14-desde-hace-40-anos-3437620#.XApDzWksNKE.twitter</t>
  </si>
  <si>
    <t>La Marina</t>
  </si>
  <si>
    <t>No importa que no me entendáis. Que yo estoy hablando en mi lengua española,que es tan bella y noble que debería ser conocida por toda la cristiandad.Carlos I</t>
  </si>
  <si>
    <t>💯Nat Garfer®💯</t>
  </si>
  <si>
    <t>Nuestro querido presidente Cum Fraude, digo... Pedro Sánchez, no se sabe ni los artículos más importantes de nuestra constitución y dice salvajadas tales, como que hay q reformar la constitución para incluir la...</t>
  </si>
  <si>
    <t>https://www.facebook.com/natanaelgf/posts/10218179133253468</t>
  </si>
  <si>
    <t>Mi cuenta sobre el Valencia,CF, fútbol en general y otras cositas</t>
  </si>
  <si>
    <t>amdct</t>
  </si>
  <si>
    <t>si el padre de rufian o de evole ,hubieran recibido cartas como esta,abrazarian a hombres como otegui?O pedro sanchez pactaria con gente asi, si su infancia hubiera estado marcada con cartas como esta?</t>
  </si>
  <si>
    <t>https://pbs.twimg.com/media/Dtziw-VXcAE1YIC.jpg</t>
  </si>
  <si>
    <t>viajar es cambiarle la ropa al alma</t>
  </si>
  <si>
    <t>MEDITERRÁNEO DIGITAL</t>
  </si>
  <si>
    <t>Ridículo apoteósico: Pedro Sánchez pide reformar la Constitución para incluir un artículo... que ya existe #40AñosDeConstitución</t>
  </si>
  <si>
    <t>Políticamente Incorrecto. https://www.fb.com/MediterraneoDigital</t>
  </si>
  <si>
    <t>http://www.mediterraneodigital.com</t>
  </si>
  <si>
    <t>TodosAUnaPorLINARES</t>
  </si>
  <si>
    <t>Estamos muy tristes por el fallecimiento de Luis Pedro Sánchez Rodríguez (Wiki), un linarense que siempre ha estado pendiente de su ciudad y al que vamos a echar mucho de menos. Nuestro más sentido pésame a familiares y amigos. #TodosaunaporLinares</t>
  </si>
  <si>
    <t>Sólo importa nuestro futuro y sus gentes; sin siglas, ni banderas políticas o ideologías.Un principio y un fin: #LINARES #TodosaUnaporLinares</t>
  </si>
  <si>
    <t>https://www.facebook.com/groups/1337765856291794/</t>
  </si>
  <si>
    <t>walewska</t>
  </si>
  <si>
    <t>Pedro Sánchez el Okupa, todo un caradura!</t>
  </si>
  <si>
    <t>http://bit.ly/2QfnLHr</t>
  </si>
  <si>
    <t>el Mundo</t>
  </si>
  <si>
    <t>Anticomunista,anti-religiones extremistas, anti-feministas radicales.Bloqueada por Iglesias, Otegi,Boye,W.Toledo,Diosdado Cabello y suma y sigue! Amo a 🇻🇪🇪🇸</t>
  </si>
  <si>
    <t>Jose Miguel Castillo</t>
  </si>
  <si>
    <t>Afectados de #Forum y #Afinsa abuchean a Pedro Sanchez a la entrada del congreso, brindado por escoltas y con total indiferencia, pasa de largo como si no fuera a el.</t>
  </si>
  <si>
    <t>pic.twitter.com/8uymsGOCNs</t>
  </si>
  <si>
    <t>Jerez de la Frontera, España</t>
  </si>
  <si>
    <t>Docente FPE &amp; Teleformacion. El avance de las nuevas tecnologías es útil y necesaria… pero a veces puede crear adicción y ser muy peligrosa. Sepamos controlarla</t>
  </si>
  <si>
    <t>http://www.myelectronic.hostfree.pw</t>
  </si>
  <si>
    <t>Francisco Rubira</t>
  </si>
  <si>
    <t>Pedro Sánchez amenaza a Susana Díaz con repetir la operación que acabó con Tomás Gómez</t>
  </si>
  <si>
    <t>http://dlvr.it/Qt2zDX</t>
  </si>
  <si>
    <t>https://pbs.twimg.com/media/DtzgrkxVAAIs6pM.jpg</t>
  </si>
  <si>
    <t>Leading the business development at http://www.elconfidencialdigital.com frubira@elconfidencialdigital.com Working Hard. Party Hard. +34 617 116 766</t>
  </si>
  <si>
    <t>http://www.linkedin.com/in/frubira</t>
  </si>
  <si>
    <t>Sebas Peláez</t>
  </si>
  <si>
    <t>Que alguien le diga a Pedro Sánchez que no hable más en público. No se puede hacer más el ridículo que el que hace ese señor.</t>
  </si>
  <si>
    <t>PEDRO SÁNCHEZ NOMBRA UNA MUJER MINISTRO DE DEFENSA POR HABER 7 MUJERES POR HOMBRE POR SER TODO POPULISMO EL PSOE. SIENDO LAS MUJERES LAS MAYORES VÍCTIMAS DE VIGILANCIA MACHISTA DEL TIEMPO DE GOBIERNOS DEL PSOE.</t>
  </si>
  <si>
    <t>https://youtu.be/5Jm1uwUUSp0</t>
  </si>
  <si>
    <t>Gorka Gorkator</t>
  </si>
  <si>
    <t>#prusesalcarajo #indepesfachas #catanazis Y que se puede esperar de un Racistorra cualquiera, es el homólogo del traidor de Pedro Sanchez a nivel nacional, tiene que pagar los peajes a los fascistas de los CDR....Hay que ser valiente y parecerlo.</t>
  </si>
  <si>
    <t>CATALÁN, Español, ESPAÑOL y E S P A Ñ O L.... , DEL REAL MADRID (antes del FC Barcelona) Y JUANITISTA CONVENCIDO. 😬.</t>
  </si>
  <si>
    <t>Teo</t>
  </si>
  <si>
    <t>El populismo de Pedro Sánchez se extiende al sector energético España tiene uno de los precios de la electricidad más altos de Europa y el plan del Gobierno lo aumentaría todavía más. #PSOE</t>
  </si>
  <si>
    <t>Donde comenzó La Reconquista</t>
  </si>
  <si>
    <t>.. Corté, sólo la flor, y lo mejor de cada instante.. A un hombre conocerás por su vivir... A MI MANERA. ESPAÑA UNA NACIÓN</t>
  </si>
  <si>
    <t>manuelrodal</t>
  </si>
  <si>
    <t>España:En Cataluña es Urgente aplicar el 155,Supender la Generalitat,Encarcelar a los Rebeldes Separatistas y,Juzgarlos por Rebelion.Antes de que la Mierda Llegue al Ventilador y,nos Salpique a Todos.Pedro Sanchez es rehen de los golpistas.</t>
  </si>
  <si>
    <t>Parece que Begoña Gómez Underwood esposa de John Fitzgerald Sánchez tiene afán de protagonismo ¿Se imaginan a Pedro Sánchez Presidente de la República? Da miedo 😱😱 . VIVA LA MONARQUÍA, VIVA EL REY</t>
  </si>
  <si>
    <t>Confidencial Digital</t>
  </si>
  <si>
    <t>http://somosecd.com/wp4pa4</t>
  </si>
  <si>
    <t>+34 91 445 96 97 Madrid, Spain</t>
  </si>
  <si>
    <t>El twitter de las personas informadas que desean estar más informadas. http://somosecd.com/8m0gl socios@elconfidencialdigital.com</t>
  </si>
  <si>
    <t>http://www.elconfidencialdigital.com/</t>
  </si>
  <si>
    <t>Se nota que, mientras se viaja, se LEE poco.</t>
  </si>
  <si>
    <t>https://okdiario.com/espana/2018/12/07/pedro-sanchez-reformar-constitucion-incluir-igualdad-hombres-mujeres-articulo-14-desde-hace-40-anos-3437620#.XApASa38Ys8.twitter</t>
  </si>
  <si>
    <t>El Consejo de Ministros aprueba este viernes un plan por el empleo juvenil con 3.000 orientadores</t>
  </si>
  <si>
    <t>https://twitter.com/sterlingmrch/status/1070763420918706176</t>
  </si>
  <si>
    <t>pic.twitter.com/u7Ha1RnDAR</t>
  </si>
  <si>
    <t>Malibú Man</t>
  </si>
  <si>
    <t>Don Pedro Sánchez Castejón RT @el_pais: Penalizar al cliente de la prostitución, perseguir a quienes faciliten pisos donde se ejerza esta actividad y despenalización total de la víctima, que “no será considerada culpable en ningún caso". Algunas de las medidas que propone el PSOE</t>
  </si>
  <si>
    <t>https://twitter.com/el_pais/status/1070952318257061888
http://ow.ly/zCOX30mTItd</t>
  </si>
  <si>
    <t>Fuente Álamo - Cartagena</t>
  </si>
  <si>
    <t>No puedo competir contra eso. Tengo una foto de Clint Eastwood pero te aseguro que no soy facha. Deberías escuchar The Lengths.</t>
  </si>
  <si>
    <t>https://curiouscat.me/ginesgarciaimb</t>
  </si>
  <si>
    <t>La mayoría de españoles rechazan gestión del socialista Pedro Sánchez en economía y empleo</t>
  </si>
  <si>
    <t>https://buff.ly/2QjJDgZ</t>
  </si>
  <si>
    <t>Belén</t>
  </si>
  <si>
    <t>El verdadero CIS de Pedro Sánchez: otro espectacular abucheo en el Congreso Los ciudadanos "votan" frente al Congreso y sentencia con estruendosos abucheos a Pedro Sánchez. Mientras, aplausos para Felipe, Aznar y Rajoy.  vía @ESdiario_com</t>
  </si>
  <si>
    <t>Mujer, española y extremeña de pura cepa...</t>
  </si>
  <si>
    <t>Carmen Prados</t>
  </si>
  <si>
    <t>#Andalucia Sánchez ve más probable un consorcio de derechas en Andalucía que repetir elecciones</t>
  </si>
  <si>
    <t>https://ift.tt/2L3rz8B</t>
  </si>
  <si>
    <t>La Roda, Pedrera, Sevilla</t>
  </si>
  <si>
    <t>📲 #SoyPeriodista 👩🏽‍💻 #Journalist | #RedesSociales #MarketingDigital | #MarcaPersonal | #Comunicación y 50% en @casatconmigo 👰🏼 y @corazonAndaluci 🤘🏼</t>
  </si>
  <si>
    <t>http://www.carmenprados.com</t>
  </si>
  <si>
    <t>#Tonto #Incapaz #Propagandista #Falso Sánchez pide incluir en la Constitución la igualdad entre hombres y mujeres... ¡que ya está en el art. 14 desde 1978!</t>
  </si>
  <si>
    <t>https://okdiario.com/espana/2018/12/07/pedro-sanchez-reformar-constitucion-incluir-igualdad-hombres-mujeres-articulo-14-desde-hace-40-anos-3437620#.XAo-3InaXrE.twitter</t>
  </si>
  <si>
    <t>Salduie</t>
  </si>
  <si>
    <t>La verdad se corrompe tanto con la mentira como con el silencio. Cicerón</t>
  </si>
  <si>
    <t>http://casajuntoalrio.wordpress.com/</t>
  </si>
  <si>
    <t>Siempre libre</t>
  </si>
  <si>
    <t>El suegro de Pedro Sánchez, dueño de saunas gays en Madrid.  vía @libertaddigital</t>
  </si>
  <si>
    <t>https://www.libertaddigital.com/espana/politica/2015-10-22/el-suegro-de-pedro-sanchez-dueno-de-saunas-gays-en-madrid-1276559702/</t>
  </si>
  <si>
    <t>Amare patriae est nostra lex</t>
  </si>
  <si>
    <t>Los negocios secretos del suegro de Pedro Sánchez.  vía @voz_populi</t>
  </si>
  <si>
    <t>https://www.vozpopuli.com/_32f4f5c7</t>
  </si>
  <si>
    <t>Muy cierto, es que el OKUPA es gilipollas. Sánchez pide incluir en la Constitución la igualdad entre hombres y mujeres... ¡que ya está en el art. 14 desde 1978!</t>
  </si>
  <si>
    <t>https://okdiario.com/espana/2018/12/07/pedro-sanchez-reformar-constitucion-incluir-igualdad-hombres-mujeres-articulo-14-desde-hace-40-anos-3437620#.XAo_AxFd8Cg.twitter</t>
  </si>
  <si>
    <t>Agr. HHCC Linares</t>
  </si>
  <si>
    <t>Desde estas líneas lamentamos profundamente la pérdida de Luis Pedro Sánchez, presidente de la Asociación de Comerciantes e Industriales de Linares. Todo nuestro apoyo y ánimo a los familiares y amigos de una persona tan querida en la ciudad. DEP</t>
  </si>
  <si>
    <t>http://www.hermandadesdelinares.es</t>
  </si>
  <si>
    <t>M. Dolores Lendínez</t>
  </si>
  <si>
    <t>La prudencia, esa gran desconocida #EleccionesYa @sanchezcastejon pide incluir en la Constitución la igualdad entre hombres y mujeres... ¡que ya está en el art. 14 desde 1978!</t>
  </si>
  <si>
    <t>https://okdiario.com/espana/2018/12/07/pedro-sanchez-reformar-constitucion-incluir-igualdad-hombres-mujeres-articulo-14-desde-hace-40-anos-3437620#.XAo9h1mc3zk.twitter</t>
  </si>
  <si>
    <t>Consultora Senior de formación en Meta4</t>
  </si>
  <si>
    <t>http://www.linkedin.com/pub/m-dolores-lendinez-ruiz/2/4b1/6a3?_mSplash=1</t>
  </si>
  <si>
    <t>Jesús Romero León</t>
  </si>
  <si>
    <t xml:space="preserve">Jerez de la Frontera, Cádiz. </t>
  </si>
  <si>
    <t>Eternamente agradecido.</t>
  </si>
  <si>
    <t>Carmen Heras</t>
  </si>
  <si>
    <t>He ahí la cuestión Pedro Sánchez confía en quedarse con el centro político de cara al nuevo ciclo electoral</t>
  </si>
  <si>
    <t>Cáceres</t>
  </si>
  <si>
    <t>Profesora de Didáctica de las Matemáticas en la UEx.</t>
  </si>
  <si>
    <t>http://medium.com/@carmenheras</t>
  </si>
  <si>
    <t>Juan C. Sánchez</t>
  </si>
  <si>
    <t>Ayer a Pedro Sánchez le traicionó el subconsciente . Tiene una idea fija en el entrecejo , meter mano a la Constitución y lo de igualdad de género que va a incluir en ella , que ya existe ! Propaganda . La igualdad de genero a Sánchez... Él quiere meter mano a la Constitución</t>
  </si>
  <si>
    <t>Aún entre los demonios hay algunos que lo son más que otros, y entre muchos hombres malos suele hallarse uno bueno. ‎</t>
  </si>
  <si>
    <t>juan herrero eraso</t>
  </si>
  <si>
    <t>Pedro Sánchez , me he presentado varias veces a voluntarios , no he podido ingresar por que en el BOE no había Plaza , el Ejercito considera que debería de estar dentro , tiene demasiados problemas ya con su asesor de imagen , para ocuparse de España</t>
  </si>
  <si>
    <t>La foto del perfil no es la mia , es la del padre Pio</t>
  </si>
  <si>
    <t>The Socialist League 🌹</t>
  </si>
  <si>
    <t>Cuando Pedro Sanchez encabezó la candidatura socialista en las elecciones del 2015 y 2016, las que perdió el @PSOE con 90 y 84 diputados , fue destacable el batacazo en la circunscripción d Madrid, donde @PSOE_M fue vencido por PP, Podemos y Ciudadanos.</t>
  </si>
  <si>
    <t>https://www.larazon.es/opinion/columnistas/la-ley-del-embudo-AM20865072</t>
  </si>
  <si>
    <t>Majadahonda, Madrid, España</t>
  </si>
  <si>
    <t>El patriotismo uno de los refugios habituales de los canallas.</t>
  </si>
  <si>
    <t>Sé les nota que no les a gustado las respuestas de los Andaluces ! A qué no Susana Díaz y Pedro Sánchez. RT @mapaniagua: Y a Vd. Sr. Sánchez le ha gustado la respuesta de los andaluces?</t>
  </si>
  <si>
    <t>https://twitter.com/mapaniagua/status/1070958193151524865</t>
  </si>
  <si>
    <t>pic.twitter.com/19r8GT4IEI</t>
  </si>
  <si>
    <t>https://pbs.twimg.com/media/DtzbdXVXQAA_zg_.jpg</t>
  </si>
  <si>
    <t>https://bit.ly/2QiXfwD</t>
  </si>
  <si>
    <t>https://pbs.twimg.com/media/DtzbY-lXcAA-OLl.jpg</t>
  </si>
  <si>
    <t>Periodista. Aprovecho mi cuenta en Twitter para compartir las noticias que escribo en El Confidencial Digital y también comentar los temas de actualidad</t>
  </si>
  <si>
    <t>El Boca-River dejará en Madrid 42 millones de euros: no va a poder exprimirse tanto el evento”. MÁS INFORMACIÓN Los precios de billetes de avión se disparan hasta un 70% para ver el Boca-River en Madrid Pedro Sánchez autoriza que la final de ...</t>
  </si>
  <si>
    <t>https://binged.it/2QH1UrE</t>
  </si>
  <si>
    <t>https://pbs.twimg.com/media/Dtza1OZUUAEgmTc.jpg</t>
  </si>
  <si>
    <t>🎗Carl Von Clauswitz🎗</t>
  </si>
  <si>
    <t>Cuando Pedro Sánchez quería que el CGPJ se eligiera por concurso público –  — Periodismo para que no te la cuelen (Compartir desde Armorfly Browser)</t>
  </si>
  <si>
    <t>http://Maldita.es
https://maldita.es/malditahemeroteca/cuando-pedro-sanchez-queria-que-el-cgpj-se-eligiera-por-concurso-publico/</t>
  </si>
  <si>
    <t>Sergio Lanciano</t>
  </si>
  <si>
    <t>Pedro Sánchez 🤔</t>
  </si>
  <si>
    <t>https://pbs.twimg.com/media/DtzagBrWoAA3Th6.jpg</t>
  </si>
  <si>
    <t>Saco tiempo para todo, incluso para twitter. 'Ladran, luego cabalgamos'.</t>
  </si>
  <si>
    <t>http://www.basketamericano.com/</t>
  </si>
  <si>
    <t>Rojo Cabreado</t>
  </si>
  <si>
    <t>¿Va a derogar la Ley Integral de Violencia de Género?</t>
  </si>
  <si>
    <t>Navalmoral de la mata. Cáceres</t>
  </si>
  <si>
    <t>Toca pelotas empedernido. Si eres feminista o machista. De derechas o de izquierdas. Tarde o temprano, alguno de mis twits, te ofenderá.</t>
  </si>
  <si>
    <t>https://www.youtube.com/c/RojoCabreado</t>
  </si>
  <si>
    <t>El programa de Ana Rosa</t>
  </si>
  <si>
    <t>Andrea Levy: "La relación de Pedro Sánchez con los independentistas ya es insostenible" #AR07D</t>
  </si>
  <si>
    <t>http://bit.ly/2RHI7pd</t>
  </si>
  <si>
    <t>https://pbs.twimg.com/media/DtzZ-paXcAEs2eU.jpg</t>
  </si>
  <si>
    <t>Mediaset España</t>
  </si>
  <si>
    <t>Perfil oficial del programa de @telecincoes. Presentado por Ana Rosa Quintana | http://www.facebook.com/elprogramadear</t>
  </si>
  <si>
    <t>http://www.telecinco.es/elprogramadeanarosa</t>
  </si>
  <si>
    <t>Libertad Digital TV</t>
  </si>
  <si>
    <t>https://tv.libertaddigital.com/videos/2018-12-06/abucheos-a-pedro-sanchez-en-los-actos-de-la-constitucion-6067358.html</t>
  </si>
  <si>
    <t>Suscríbete a nuestro Twitter para saber en tiempo real cuándo actualizamos nuestra página web con los últimos vídeos y noticias.</t>
  </si>
  <si>
    <t>http://tv.libertaddigital.com/</t>
  </si>
  <si>
    <t>Según explican al Confidencial Digital dirigentes del PSOE, en la sede nacional del partido,Pedro Sánchez amenaza a Susana Díaz con repetir la operación que acabó con Tomás Gómez:  vía @ecd_</t>
  </si>
  <si>
    <t>Interior Noticias DSur</t>
  </si>
  <si>
    <t>#InteriorNoticia 📰 El alcalde de Campillos pide una reunión con Pedro Sánchez para estudiar las ayudas. Informa @DiarioSUR</t>
  </si>
  <si>
    <t>Alvise Pérez</t>
  </si>
  <si>
    <t>https://www.diariosur.es/interior/alcalde-campillos-pide-20181207000314-ntvo.html#ns_campaign=jcbt&amp;ns_mchannel=diariosur&amp;ns_source=tw&amp;ns_linkname=ltl&amp;1544174152</t>
  </si>
  <si>
    <t>Leeds.</t>
  </si>
  <si>
    <t>¡Artista! Plasma! No hables! Tuiteo en español. EN | ES | IT. #Liberal. Escuela #Austríaca. "As Much Freedom as Possible; as Much State as Necessary"</t>
  </si>
  <si>
    <t>http://facebook.com/Alviseperez</t>
  </si>
  <si>
    <t>Oscar Fernandez</t>
  </si>
  <si>
    <t>Que alguien le diga a Pedro Sánchez que puede dejar de firmarle a Begoña autorizaciones para poder trabajar, abrir cuentas corrientes , sacar el pasaporte...</t>
  </si>
  <si>
    <t>https://pbs.twimg.com/media/DtzYpbfXQAALp8e.jpg</t>
  </si>
  <si>
    <t>Ahora me entran las prisas por hacer las cosas que no hice de joven y ya se me picaron varios vinos buenos que dejé para la ocasión ideal.</t>
  </si>
  <si>
    <t>Josep</t>
  </si>
  <si>
    <t>Con este tuit dando respuesta a otro de Sanchez,damos por zanjado el tema si es que alguna vez lo hubo de que D.Pedro Sanchez Castejón es el peor presidente habido y por haber,inculto e indocumentado. RT @CristinaSegui_: Pedrito, eres un ILETRADO: art 14 CE: “Los españoles son iguales ante la ley, sin que pueda prevalecer discriminación alguna por razón de nacimiento, raza, sexo, religión, opinión o cualquier otra condición o circunstancia personal o social”</t>
  </si>
  <si>
    <t>https://twitter.com/CristinaSegui_/status/1070803593215795205
https://twitter.com/sanchezcastejon/status/1070736196228317184</t>
  </si>
  <si>
    <t>"me fui aburrido y ahora como me aburro vuelvo". Soy catalan y español, segun algunos colono y botifler, y yo, orgulloso.Soc del Reial Madrid. Sorry.Indepes No.</t>
  </si>
  <si>
    <t>El Racó de pensar de Sant Esteve de les Roures</t>
  </si>
  <si>
    <t>Ultimátum de MHP Quim Torra al conseller Miquel Buch. Pero también le dio uno a Pedro Sánchez que ya ha prescrito y nadie se acuerda.</t>
  </si>
  <si>
    <t>Sant Esteve de les Roures</t>
  </si>
  <si>
    <t>José Alberto</t>
  </si>
  <si>
    <t>http://www.citizengo.org/hazteoir/166670-no-expolie-por-segunda-vez-archivo-salamanca?tc=tw&amp;tcid=52564885</t>
  </si>
  <si>
    <t>Por Galicia</t>
  </si>
  <si>
    <t>Viva mi pueblo</t>
  </si>
  <si>
    <t>ANTONIO BAQUERO</t>
  </si>
  <si>
    <t>Sin comentarios. Sánchez pide incluir en la Constitución la igualdad entre hombres y mujeres... ¡que ya está en el art. 14 desde 1978!</t>
  </si>
  <si>
    <t>https://okdiario.com/espana/2018/12/07/pedro-sanchez-reformar-constitucion-incluir-igualdad-hombres-mujeres-articulo-14-desde-hace-40-anos-3437620#.XAo5s5kyIR4.twitter</t>
  </si>
  <si>
    <t>Josep Pellús🎗🎗</t>
  </si>
  <si>
    <t>Y en un acto de locura progresista, Pedro Sánchez promete incluir el derecho de todos los españoles y españolas a una vivienda digna en la Constitución.</t>
  </si>
  <si>
    <t>Ripollet, Catalunya</t>
  </si>
  <si>
    <t>Politòleg (ho havia de confessar). Realpolitik. Escacs sense jugades mestres. Independentista perquè és l'única opció per poder tenir una societat millor.</t>
  </si>
  <si>
    <t>artistamiyares: PEDRO SÁNCHEZ QUIERE GANAR TIEMPO.</t>
  </si>
  <si>
    <t>Contraengranaje</t>
  </si>
  <si>
    <t>Pedro Sánchez: “A los independentistas les da igual el modelo de Estado, quieren ir contra el ser de España”</t>
  </si>
  <si>
    <t>Somewhere over the rainbow...</t>
  </si>
  <si>
    <t>Un pusilánime en busca del sentido de la vida...</t>
  </si>
  <si>
    <t>Pedro Sánchez, Pablo Iglesias, Susana Díaz, Teresa Rodríguez, Casado, Rivera . Supongo que ustedes al igual que Quim torra Juraron Bandera , en su momento , yo la jure con 18 Años en Despacho , al no pasar la prueba médica ¿ Qué opinan que se debe de hacer ,</t>
  </si>
  <si>
    <t>Carolina</t>
  </si>
  <si>
    <t>El populismo de Pedro Sánchez se extiende al sector energético, por @daniro_asensio  vía @libre_mercado</t>
  </si>
  <si>
    <t>Cata LC</t>
  </si>
  <si>
    <t>Petición · Pedro Sánchez: Pedro Sánchez: 79 minutos contra la Trata ·</t>
  </si>
  <si>
    <t>http://Change.org
https://www.change.org/p/pedro-s%C3%A1nchez-pedro-s%C3%A1nchez-79-minutos-contra-la-trata</t>
  </si>
  <si>
    <t>Trabajadora de Airbus. Secretaría de Mujer e Igualdad y Política Social en CCOO Comarca Sur. Luchare por la igualdad real. Orgullosa de ser mujer</t>
  </si>
  <si>
    <t>Abucheos a Pedro Sánchez a su llegada al Congreso y larga ovación a los reyes  vía @20m</t>
  </si>
  <si>
    <t>Juan.</t>
  </si>
  <si>
    <t>JAIME DE OLANO, PORTA VOZ DEL PP, EST EN LA TV24H. ARGUMENTOS, PEDRO SANCHEZ , LLEVA A ESPAÑA A LA RUINA, NO SE PUEDE SUBIR EL SALARIO A 900€, Y AHORA TE DIGO YO ¿CUANTO GANAS TU?, ¿QUE TRABAJOS REALIZAS?, A PARTE DE "EMBARRAR" LA POLÍTICA. YA ES HORA D K OS LARGUÉIS ,CORRUPTOS</t>
  </si>
  <si>
    <t>Solo deseo, salud, a todas las personas.🍏🍐🍊🍋</t>
  </si>
  <si>
    <t>Libertarian nest🇪🇸</t>
  </si>
  <si>
    <t>Español y, por ello, liberal austriaco e iberista. Vida, libertad y propiedad. Socio fundador del @clubdeviernes No me sigas para que te siga.</t>
  </si>
  <si>
    <t>Javier Esturillo</t>
  </si>
  <si>
    <t>Consternado, sorprendido, helado, emocionado por la muerte de una gran persona y amigo. Descansa en paz Luis Pedro Sánchez (Wiki). #Linares te va a echar mucho de menos. Dejas un vacío imposible de llenar</t>
  </si>
  <si>
    <t>Obrero de noticias. Ya de vuelta. Colaborador @CadenaSERJaen, @RadioLinaresSER, y ahora también en un sueño @Lacontradejaen. Vierto opiniones a título personal.</t>
  </si>
  <si>
    <t>Almudena Negro 🇪🇸 🇩🇪</t>
  </si>
  <si>
    <t>😂😂😂😂😂😂😂😂Sánchez pide incluir en la Constitución la igualdad entre hombres y mujeres... ¡que ya está en el art. 14 desde 1978!</t>
  </si>
  <si>
    <t>https://okdiario.com/espana/2018/12/07/pedro-sanchez-reformar-constitucion-incluir-igualdad-hombres-mujeres-articulo-14-desde-hace-40-anos-3437620#.XAo4B-53ReI.twitter</t>
  </si>
  <si>
    <t>#Periodismo #SocialMedia Transformación digital. Escéptica. Mis opiniones son mías. Muerdo. Coautora de #ContraLaSocialdemocracia. Ahora en @larazon_es.</t>
  </si>
  <si>
    <t>https://almudenanegro.wordpress.com/</t>
  </si>
  <si>
    <t>El Diestro #ED👍🇪🇸</t>
  </si>
  <si>
    <t>Pedro Sánchez demuestra ser un ignorante y un caradura en una entrevista concedida a El País #FelizFinde</t>
  </si>
  <si>
    <t>El diario referente de la derecha española, editado por la sociedad civil</t>
  </si>
  <si>
    <t>http://www.eldiestro.es</t>
  </si>
  <si>
    <t>Ángel Campos Rufián #ED👍🇪🇸</t>
  </si>
  <si>
    <t>Ángel Campos Rufián. Abogado. Apasionado de la Política. Me gusta debatir. Escribo en @DECDLT y grupo @ElDiestro_ Socio en @AyudaLetrada</t>
  </si>
  <si>
    <t>http://www.desdeelcaballodelastendillas.es</t>
  </si>
  <si>
    <t>Psicología Forense</t>
  </si>
  <si>
    <t>Abucheos a Pedro Sánchez a su llegada al Congreso y larga ovación a los reyes -</t>
  </si>
  <si>
    <t>La felicidad se alcanza cuando encuentras la verdad.</t>
  </si>
  <si>
    <t>tio chabó #StopTTIP ❤️💛💜</t>
  </si>
  <si>
    <t>Sánchez celebra la detención del ultra García Juliá, autor de la matanza de Atocha: "La democracia siempre vence a sus enemigos"</t>
  </si>
  <si>
    <t>https://ift.tt/2Qfr7tO</t>
  </si>
  <si>
    <t>Burujon (Toledo)</t>
  </si>
  <si>
    <t>Luchando dia a dia contra el mal humor, republicano, de izquiedas y soñador. Te informo de lo que pasa diariamente. !!Salud y Republica!!......☭☭☭</t>
  </si>
  <si>
    <t>http://paper.li/lobo_solito/1343408781</t>
  </si>
  <si>
    <t>eldiarionorte</t>
  </si>
  <si>
    <t>https://pbs.twimg.com/media/DtzWHwHX4AM6x1s.jpg</t>
  </si>
  <si>
    <t>Información cercana</t>
  </si>
  <si>
    <t>http://www.eldiarionorte.es</t>
  </si>
  <si>
    <t>EL PAÍS Madrid</t>
  </si>
  <si>
    <t>Pedro Sánchez se comprometió a destinar 6.000 millones de euros a la modernización de la red ferroviaria de Madrid.</t>
  </si>
  <si>
    <t>http://ow.ly/BWz130mTJnR</t>
  </si>
  <si>
    <t>Política, cultura, movilidad, ecología, vecinos. Con los 👁️👁️puestos en #Madrid📲FB http://www.facebook.com/elpaismadrid/ 📷IG http://instagram.com/patiodevecinos</t>
  </si>
  <si>
    <t>http://ccaa.elpais.com/ccaa/madrid.html</t>
  </si>
  <si>
    <t>Emilio Santos</t>
  </si>
  <si>
    <t>Pedro Sánchez: Pedro Sánchez: 79 minutos contra la Trata - ¡Firma la petición!  vía @change_es</t>
  </si>
  <si>
    <t>http://chng.it/2SYtNNtT</t>
  </si>
  <si>
    <t>Sigue o meu exemplo, pero non fagas o que eu faga. (Meu pai).</t>
  </si>
  <si>
    <t>Lady Godiva</t>
  </si>
  <si>
    <t>NO SE ENTERA ➡️➡️ Pedro Sánchez desconoce la Constitución: pide reformarla para incluir la igualdad entre hombres y mujeres  vía @libertaddigital</t>
  </si>
  <si>
    <t>Libertad Liberales Liberalismo Capitalismo Anarcocapitalismo Derechos Individuales Propiedad Privada Cine Música Literatura</t>
  </si>
  <si>
    <t>Otro que no lee</t>
  </si>
  <si>
    <t>Jim Bredgis +=+=</t>
  </si>
  <si>
    <t>No hay mejor remedio para el virus del desprecio a la Constitución, en fin, que imaginar a Pablo Iglesias, Arnaldo Otegi, Pedro Sánchez y Oriol Junqueras en las sillas de Gabriel Cisneros, Miquel Roca, Gregorio Peces-Barba o Jordi Solé Tura en 1978' RT @crpandemonium: Podemos cree que los españoles son ignorantes, contrahechos, cejijuntos, fachas, maltratadores, pobres, hambrientos y oprimidos. Dice que estamos engañados y que todavía vivimos en 1945. Creen estar viendo el país y sólo se están mirando al espejo.</t>
  </si>
  <si>
    <t>https://twitter.com/crpandemonium/status/1070948838821777408
https://www.elespanol.com/opinion/columnas/20181207/constitucion-quiere-podemos/358844117_13.html</t>
  </si>
  <si>
    <t>Josep Maria Calaf</t>
  </si>
  <si>
    <t>Sánchez no forzará el relevo de Susana Díaz: dejará que sea el PSOE andaluz el que la fulmine  vía @okdiario</t>
  </si>
  <si>
    <t>http://okdiario.com/espana/2018/12/06/pedro-sanchez-no-forzara-relevo-susana-diaz-dejara-psoe-andaluz-fulmine-3434507</t>
  </si>
  <si>
    <t>Lalija</t>
  </si>
  <si>
    <t>Aparecer uno del PP y ponérsete los pelos de punta es todo uno. Hoy, Jaime de Olano nos informa de que los presupuestos de Pedro Sánchez están provocando la próxima recesión mundial. Vamos, que es el culpable de la guerra económica entre EEUU y China. Y del Brexit. #LosDesayunos</t>
  </si>
  <si>
    <t>El espíritu de los cuerdos no es nunca inflexible. (Homero, La Ilíada.)</t>
  </si>
  <si>
    <t>Amaya51</t>
  </si>
  <si>
    <t>Siempre dispuesta a aprender de todo y de todos. Siempre queriendo mejorar. Siempre cuestionando. Siempre por la igualdad. Feminista, atea, roja y republicana.</t>
  </si>
  <si>
    <t>Gracia Muñoz Aguirre</t>
  </si>
  <si>
    <t>Pedro Sánchez nos menosprecia, la utilización de la mujer con fines partidistas es un insulto, con las palabras de ayer pone de manifiesto que no nos considera iguales. Tener un Presidente del Gobierno como usted es una vergüenza para la mujer.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</si>
  <si>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Hay un lugar en el que nunca te sentirás solo; una librería 📚 Sevilla&amp;Barcelona @Cshospitalet 🍊</t>
  </si>
  <si>
    <t>Teleindiscreta</t>
  </si>
  <si>
    <t>Pedro Sánchez descarta elecciones en marzo Ver más aquí &gt;  #Noticias</t>
  </si>
  <si>
    <t>http://bit.ly/2PnE7Z9</t>
  </si>
  <si>
    <t>Las mejores noticias de actualidad, famosos, salud, belleza, cocina, motor, música, política, economía y mucho más. A partir de ahora http://www.Teleindiscreta.es</t>
  </si>
  <si>
    <t>http://teleindiscreta.es</t>
  </si>
  <si>
    <t>J. Á. Montañés</t>
  </si>
  <si>
    <t>Miquel Buch, del gobierno de Quim Torra, no puede decir que el consejo de ministros que piensa hacer el 21 de diciembre en Barcelona Pedro Sánchez "es una provocación". Un consejero, y menos el de Interior, debe pensar dos veces lo que dice (y lo que escribe)</t>
  </si>
  <si>
    <t>Periodista</t>
  </si>
  <si>
    <t>Pedro Sánchez quiere reformar la Constitución para incluir la igualdad entre hombres y mujeres  Vía @eldairioes</t>
  </si>
  <si>
    <t>https://pbs.twimg.com/media/DtzTzriXgAAIUXK.jpg</t>
  </si>
  <si>
    <t>Alvaro Nieto Seto</t>
  </si>
  <si>
    <t>Pedro Sánchez va a defender a la constitución de la “amenaza” de la derecha, desobedeciendo a la constitución con sus socios golpistas, etarras y bolcheviques. Faltando al respeto a nuestro jefe del estado. Elaborando unos presupuestos pro independencia.</t>
  </si>
  <si>
    <t>Enamorado de mi patria, España. 🇪🇸</t>
  </si>
  <si>
    <t>Teresa García Sena</t>
  </si>
  <si>
    <t>Congreso de los Diputados: Sánchez enfría el adelanto inminente: En marzo seguiremos trabajando y gobernando</t>
  </si>
  <si>
    <t>https://www.elconfidencial.com/espana/2018-12-06/pedro-sanchez-adelanto-electoral-marzo-seguiremos-trabajando-gobernando_1690978/</t>
  </si>
  <si>
    <t>Candidata del PP Valencia al Congreso</t>
  </si>
  <si>
    <t>DAISY HILL</t>
  </si>
  <si>
    <t>Pedro Sánchez así sí. RT @el_pais: Penalizar al cliente de la prostitución, perseguir a quienes faciliten pisos donde se ejerza esta actividad y despenalización total de la víctima, que “no será considerada culpable en ningún caso". Algunas de las medidas que propone el PSOE</t>
  </si>
  <si>
    <t>Madrid / Menduiña</t>
  </si>
  <si>
    <t>Vocals for @Nebraskahc. Thanks to everyone that bought tickets to my shows. IX.</t>
  </si>
  <si>
    <t>https://www.instagram.com/maurowetsand/?hl=es</t>
  </si>
  <si>
    <t>https://twitter.com/sanchezcastejon/status/1070798737256144899
https://elpais.com/politica/2018/12/06/actualidad/1544121325_227433.html</t>
  </si>
  <si>
    <t>Juan ACN</t>
  </si>
  <si>
    <t>https://www.votoenblanco.com/Por-que-los-socialistas-decentes-no-echan-a-Pedro-Sanchez_a7283.html</t>
  </si>
  <si>
    <t>Juan A C N</t>
  </si>
  <si>
    <t>http://juanjocerezo.acnshop.eu</t>
  </si>
  <si>
    <t>El CHEPA SE DÁ CUENTA DEL RIDICULO QUE A HECHO CON EL LOGO "REPUBLICANITO", Y CULPA A SU SOCIO PEDRO SANCHEZ COMO CUSANTE DE LA HUMILLACION REPUBLICANITA.</t>
  </si>
  <si>
    <t>https://pbs.twimg.com/media/DtzTEbBWoAEiOES.jpg</t>
  </si>
  <si>
    <t>✞ Alberto Campoy 🗽</t>
  </si>
  <si>
    <t>Dicen en Telecinco que #Vox es como Trump, entonces tienen mi voto porque si me dan a elegir entre Pedro Sánchez y Trump...</t>
  </si>
  <si>
    <t>Málaga - Granada - Sevilla</t>
  </si>
  <si>
    <t>Ingeniero, cristiano, libertario. Contra el estado de bienestar, porque la vida, la propiedad y la libertad no se vota, se respeta. #LosImpuestosSonUnRobo</t>
  </si>
  <si>
    <t>Pedro Sánchez no será recordado por ser un buen presidente,pero será recordado por ser un gran marido, prometió a la Bego unas Navidades en la moncloa y lo va a cumplir...</t>
  </si>
  <si>
    <t>Javier Marcos Angulo</t>
  </si>
  <si>
    <t>Aprendiz de la vida, busco la verdad.</t>
  </si>
  <si>
    <t>http://javiermarcosangulo.blogspot.com.es</t>
  </si>
  <si>
    <t>Rafael de la Guerra</t>
  </si>
  <si>
    <t>¿A dónde vamos con un "presidente" así? No se entera de NADA, está menos preparado que nadie para dirigir un país en crisis como España. ELECCIONES GENERALES YA</t>
  </si>
  <si>
    <t>Dr. en Medicina. Asturiano. En guerra perpetua contra prepotentes, pusilánimes, jetas, cínicos y caraduras. La vida es más bonita a lomos de mi querido caballo.</t>
  </si>
  <si>
    <t>Guadalupe Bragado</t>
  </si>
  <si>
    <t>¿De qué se ríe Pedro Sanchez?  vía @ESdiario_com</t>
  </si>
  <si>
    <t>https://www.esdiario.com/961568003/ADe-que-se-rie-Pedro-Sanchez.html</t>
  </si>
  <si>
    <t>Directora General de Formación Profesional y Enseñanzas Artísticas, Deportivas e Idiomas en Comunidad de Madrid...trabajando y siempre aprendiendo!! 🇪🇸</t>
  </si>
  <si>
    <t>http://www.madrid.org/fp</t>
  </si>
  <si>
    <t>De Tabarnia</t>
  </si>
  <si>
    <t>Pedro Sánchez, ojalá sientas en tu piel la desolación que vivimos muchos catalanes, sin apoyo del gobierno, oprimidos por un Sr.Torra ultra, abandonados por las leyes de la Constitución.</t>
  </si>
  <si>
    <t>Catalana y española. No independentista. Creo en la democracia, pero aqui no hay. Gracias por vuestro apoyo.</t>
  </si>
  <si>
    <t>Maria Leonor</t>
  </si>
  <si>
    <t>#ARD7D Prat....¿ Que me dices de la IZQUIERDIZACION EXTREMA DE PSOE, CON PEDRO SÁNCHEZ, QUE LE ESTÁ QUEDANDO FUERA DE LO QUE QUIERE UNA MAYORÍA DE ESPAÑOLES...?</t>
  </si>
  <si>
    <t>Mujer catolica mayor mileurista. Jubilada en mi trabajo pero no en mi fe.</t>
  </si>
  <si>
    <t>ulysses formoso</t>
  </si>
  <si>
    <t>Pedro Sánchez, en una charla con periodistas, dice que para marzo espera estar trabajando y gobernando. Vamos, que hasta el próximo otoño nada de nada</t>
  </si>
  <si>
    <t>Milladoiro - Ames</t>
  </si>
  <si>
    <t>Manifiesto Fundacional de UPyD http://upyd.es/manifiesto-fun…</t>
  </si>
  <si>
    <t>angel romero prieto</t>
  </si>
  <si>
    <t>Sánchez pide incluir en la Constitución la igualdad entre hombres y mujeres... ¡que ya está en el art. 14 desde 1978!  ¡¡ Que podemos esperar, de un tío, que como formación académica, tiene un falso doctorado copiado por otros, el rey de la chuleta..!!</t>
  </si>
  <si>
    <t>https://okdiario.com/espana/2018/12/07/pedro-sanchez-reformar-constitucion-incluir-igualdad-hombres-mujeres-articulo-14-desde-hace-40-anos-3437620#.XAoxXRIsJEI.twitter</t>
  </si>
  <si>
    <t>Los politicastros en España,se han convertido en una mafia,solo les interesa vivir a nuestra costa..!ESPAÑA, no se merece tanta BASURA...hay que eliminarlos..!</t>
  </si>
  <si>
    <t>Carles Dijous (AAlb)</t>
  </si>
  <si>
    <t>#Sánchez pide incluir en la #Constitución la igualdad entre hombres y mujeres... ¡que ya está en el art. 14 desde 1978!</t>
  </si>
  <si>
    <t>http://bit.ly/2QhmXlb</t>
  </si>
  <si>
    <t>Barcelona, Catalonia</t>
  </si>
  <si>
    <t>Colaborador docente UOC (Universitat Oberta de Catalunya). ICT observer. More: http://bit.ly/1LK7xZf</t>
  </si>
  <si>
    <t>http://world2digits.blogspot.com/</t>
  </si>
  <si>
    <t>Llevant Unió Esportiva</t>
  </si>
  <si>
    <t>Casado y Rivera encarrilan un pacto para el Parlamento y la Junta de Andalucía  ✅ Pedro Sánchez (PSOE) ➡ 24% de los diputados ✅ Juanma Moreno (PP) ➡ 24% de los diputados Duda: ¿El próximo presidente andaluz será un OKUPA? ¿O como va eso? #FelizFinde</t>
  </si>
  <si>
    <t>https://www.elconfidencial.com/elecciones-andalucia/2018-12-07/juanma-moreno-junta-andalucia-pp-ciudadanos_1690478/</t>
  </si>
  <si>
    <t>Del Llevant. Si em segueixes et segueixo.</t>
  </si>
  <si>
    <t>https://okdiario.com/espana/2018/12/07/han-pasado-85-dias-demanda-pedro-sanchez-sigue-sin-llegar-3437752#.XAoxJGKB_ZQ.twitter</t>
  </si>
  <si>
    <t>Luis</t>
  </si>
  <si>
    <t>Abuchean a Pedro Sánchez a su llegada al Congreso en el 40 aniversario de la Constitución (VÍDEO)</t>
  </si>
  <si>
    <t>https://columnacero.com/espana/18981/abuchean-a-pedro-sanchez-a-su-llegada-al-congreso-en-el-40-aniversario-de-la-con/</t>
  </si>
  <si>
    <t>http://Ingeniero.Soy ESPAÑOL 🇪🇸.Escribe lo que creas oportuno, pero no insultes, artículo 20 de la constitución.Mi pasión el avión.</t>
  </si>
  <si>
    <t>manuel llamas</t>
  </si>
  <si>
    <t>Periodista, redactor jefe de Economía de Libertad Digital y Libre Mercado, miembro del Instituto Juan de Mariana.</t>
  </si>
  <si>
    <t>http://www.libremercado.com/</t>
  </si>
  <si>
    <t>Cuándo piensa Pedro Sánchez ponerse a trabajar por los españoles y se deja de estar haciendo Campaña? Así no le va a votar nadie y tiene q volverse otra vez para su casa.</t>
  </si>
  <si>
    <t>gtebarperez.</t>
  </si>
  <si>
    <t>Desde Pedro Sánchez, hasta el ultimo de los irresponsables, del mundo del fútbol. ¿ como se les ocurre traer a España, este partido y , a lo mejor de cada casa de allá?...</t>
  </si>
  <si>
    <t>S. Ferres</t>
  </si>
  <si>
    <t>No culpeis a Pedro Sánchez del bodrio de sus tui, los redactan Carmen Calvo y Adriana Lastra y donde no hay no hay.</t>
  </si>
  <si>
    <t>Pedro Sánchez, Pablo Iglesias, Susana Díaz, Teresa Rodríguez, Casado, Rivera ¿ Por Qué motivo consideran que se han de dar el voto de confianza a los partidos secesionistas e independistas de Cataluña o a los suyos , en Vez de a VOX?</t>
  </si>
  <si>
    <t>https://okdiario.com/espana/2018/12/07/pedro-sanchez-reformar-constitucion-incluir-igualdad-hombres-mujeres-articulo-14-desde-hace-40-anos-3437620#.XAowCaNovW4.twitter</t>
  </si>
  <si>
    <t>Francisco Marhuenda</t>
  </si>
  <si>
    <t>Lorenzo Pérez Rojo</t>
  </si>
  <si>
    <t>💬 @ALevySoler en @elprogramadear 👉 "Pedro Sánchez no se ha dado cuenta de que las elecciones andaluzas han sido la primera moción de censura hacia él. Es insostenible la relación de Sánchez con sus socios independentistas". #AR07D</t>
  </si>
  <si>
    <t>https://pbs.twimg.com/media/DtzPTWVXQAABreE.jpg</t>
  </si>
  <si>
    <t>Soto del Real, España</t>
  </si>
  <si>
    <t>Concejal y Portavoz Adjunto del @PPopular en el Ayuntamiento de #SotodelReal, Puerta de Entrada al PN Sierra de Guadarrama</t>
  </si>
  <si>
    <t>https://www.pp.es</t>
  </si>
  <si>
    <t>Director del diario @larazon_es y su equipo</t>
  </si>
  <si>
    <t>Miguel Moreno</t>
  </si>
  <si>
    <t>¿Alguien que entienda me puede explicar que significa psicológicamente la mirada y el rostro del Presidente del Gobierno (o Pedro Sánchez) ? Da un poco de miedo...</t>
  </si>
  <si>
    <t>https://pbs.twimg.com/media/DtzPT1CXQAAPh8J.jpg</t>
  </si>
  <si>
    <t>Periodista en busca de la verdad, no aguanto las manipulaciones ni las mentiras.</t>
  </si>
  <si>
    <t>Jjo_</t>
  </si>
  <si>
    <t>Diría que es tonto si no fuese porque con sus gilipolleces ya se ha asegurado un sueldo perpetuo como ex presidente. Así que diré simplemente que es imbécil</t>
  </si>
  <si>
    <t>https://okdiario.com/espana/2018/12/07/pedro-sanchez-reformar-constitucion-incluir-igualdad-hombres-mujeres-articulo-14-desde-hace-40-anos-3437620#.XAovJCQ2kUM.facebook</t>
  </si>
  <si>
    <t>Un Peter Pan de la Vida</t>
  </si>
  <si>
    <t>http://eltrasterodeguizz.blogspot.com</t>
  </si>
  <si>
    <t>Federación Mujeres Progresistas</t>
  </si>
  <si>
    <t>Pedro Sánchez quiere reformar la Constitución para incluir la #igualdad entre hombres y mujeres  vía @eldiarioes</t>
  </si>
  <si>
    <t>La FMP es una ONG, sin ánimo de lucro, de carácter estatal, creada en el año 1987 y conformada por cerca de 23.000 socias.</t>
  </si>
  <si>
    <t>http://www.fmujeresprogresistas.org</t>
  </si>
  <si>
    <t>Racle7</t>
  </si>
  <si>
    <t>Pedro Sánchez confía en quedarse con el centro político de cara al nuevo ciclo electoral  NO TE QUEDARÁS NI CON LOS DE IZQUIERDA,PATÁN !!!</t>
  </si>
  <si>
    <t>Si apestas a separatista,rojo antipatriota o persona de mal vivir,no te acerques a mi.A veces NO COMPARTO lo que retuiteo.Orgulloso de ser ESPAÑOL.</t>
  </si>
  <si>
    <t>Club de los Viernes</t>
  </si>
  <si>
    <t>Las pymes europeas pagan un 20% más por la electricidad que las chinas y un 65% más que en la India. Entre 2005 y 2012 los precios de la electricidad en Estados Unidos bajaron un 8%, mientras que en Europa subieron un 38% @daniro_asensio Miembro del CdV</t>
  </si>
  <si>
    <t>Movimiento en defensa de las libertades civiles, el derecho de propiedad y el Estado limitado. #CdV administracion@elclubdelosviernes.org</t>
  </si>
  <si>
    <t>http://www.elclubdelosviernes.org</t>
  </si>
  <si>
    <t>Sindy</t>
  </si>
  <si>
    <t>https://okdiario.com/espana/2018/12/07/pedro-sanchez-reformar-constitucion-incluir-igualdad-hombres-mujeres-articulo-14-desde-hace-40-anos-3437620#.XAovXIHtvj0.twitter</t>
  </si>
  <si>
    <t>Licenciada en Ciencias Biológicas.Máster en Gestión Medioambiental de la empresa.Diplomada en lengua italiana.</t>
  </si>
  <si>
    <t>Jorge Sánchez</t>
  </si>
  <si>
    <t>Para Pedro Sánchez el artículo 14 CE no existe ... son los padres 😌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</si>
  <si>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Derecho , UAL ⚖️📚</t>
  </si>
  <si>
    <t>PSOE Renedo de Esgue</t>
  </si>
  <si>
    <t>El día que el triunfo alcanzemos, ni ricos ni pobres habrá,la tierra será un paraíso patria de la humanidad.</t>
  </si>
  <si>
    <t>Jorge Velasco</t>
  </si>
  <si>
    <t>https://twitter.com/josecdiez/status/1070301933041270785</t>
  </si>
  <si>
    <t>https://pbs.twimg.com/media/Dtp57MoW0AAQDpT.jpg</t>
  </si>
  <si>
    <t>Luchando cada día por dejar un mundo más justo e igualitario Rebelde con causas.</t>
  </si>
  <si>
    <t>Cs La Rioja</t>
  </si>
  <si>
    <t>🌞☕️¡Buenos días! Así recogía @Telerioja nuestra valoración sobre la contrarreforma educativa de Pedro Sánchez. Minuto 10' 35" 👇</t>
  </si>
  <si>
    <t>http://www.rtve.es/alacarta/videos/informativo-telerioja/informativo-telerioja-05-12-18/4874580/</t>
  </si>
  <si>
    <t>https://pbs.twimg.com/media/DtzOF5FW0AA1vhw.jpg</t>
  </si>
  <si>
    <t>La Rioja, España</t>
  </si>
  <si>
    <t>Perfil oficial de Ciudadanos (Cs) La Rioja. Síguenos también en Facebook: http://facebook.com/CsLaRioja/</t>
  </si>
  <si>
    <t>http://larioja.ciudadanos-cs.org/</t>
  </si>
  <si>
    <t>Diario de Noticias</t>
  </si>
  <si>
    <t>El dilema de Pedro Sánchez, nuestro EDITORIAL de hoy:</t>
  </si>
  <si>
    <t>https://www.noticiasdenavarra.com/2018/12/07/opinion/editorial/el-dilema-de-sanchez</t>
  </si>
  <si>
    <t>Edición online del periódico Diario de Noticias de Navarra. Última hora y noticias más destacadas. El periódico de todos los navarros. Nafar guztion egunkaria</t>
  </si>
  <si>
    <t>http://www.noticiasdenavarra.com</t>
  </si>
  <si>
    <t>🎗 Segarra “l’overo”🎗🎗</t>
  </si>
  <si>
    <t>l'Ampolla</t>
  </si>
  <si>
    <t>NI català ni valencià, tortosí. Mesura de medir en desús; la dotzena i la mitja dotzena. Sahara lliure!!! i abandonada per l’emèrit. Je,je.</t>
  </si>
  <si>
    <t>Inconformista</t>
  </si>
  <si>
    <t>Pedro Sánchez es un analfabeto psicópata muy peligroso. #MarcaPSOE</t>
  </si>
  <si>
    <t>https://okdiario.com/espana/2018/12/07/pedro-sanchez-reformar-constitucion-incluir-igualdad-hombres-mujeres-articulo-14-desde-hace-40-anos-3437620#.XAouQeLPbMc.twitter</t>
  </si>
  <si>
    <t>Adicto a la verdad. Todo lo que no te cuentan los medios sobre la ideología más corrupta te lo mostraré en #MarcaPSOE. Al primer insulto, bloqueo.</t>
  </si>
  <si>
    <t>Pedro @SanchezCastejon pide incluir en la Constitución la igualdad entre hombres y mujeres… ¡que ya está en el art. 14 desde 1978!</t>
  </si>
  <si>
    <t>https://okdiario.com/espana/2018/12/07/pedro-sanchez-reformar-constitucion-incluir-igualdad-hombres-mujeres-articulo-14-desde-hace-40-anos-3437620?utm_campaign=ok&amp;utm_medium=Social&amp;utm_source=Twitter#Echobox=1544167554</t>
  </si>
  <si>
    <t>La Reina Letizia está harta del afán de protagonismo de la mujer de Pedro Sánchez, Begoña Gómez. Acude a actos a los que no debería ir al no tener cargo oficial alguno.</t>
  </si>
  <si>
    <t>https://casoaislado.com/la-reina-letizia-esta-harta-de-la-mujer-de-sanchez-begona-gomez-por-su-afan-de-protagonismo/</t>
  </si>
  <si>
    <t>Raimundo Abando</t>
  </si>
  <si>
    <t>https://okdiario.com/espana/2018/12/07/pedro-sanchez-reformar-constitucion-incluir-igualdad-hombres-mujeres-articulo-14-desde-hace-40-anos-3437620#.XAotU3bP9BM.twitter</t>
  </si>
  <si>
    <t>Madrid/Asturias</t>
  </si>
  <si>
    <t>Abogado-Economista. Prefiero molestar con la verdad, que complacer con adulaciones. Una persona tiene que tener siempre por encima la dignidad al miedo.</t>
  </si>
  <si>
    <t>Abucheos a Pedro Sánchez a su llegada al Congreso y larga ovación a los reyes</t>
  </si>
  <si>
    <t>https://www.20minutos.es/noticia/3510387/0/abucheos-pedro-sanchez-congreso-aniversario-constitucion/#xtor=AD-15&amp;xts=467263</t>
  </si>
  <si>
    <t>Pablo Casais Cob</t>
  </si>
  <si>
    <t>San Sebastián</t>
  </si>
  <si>
    <t>Rafael Solís Ortiz.</t>
  </si>
  <si>
    <t>Sánchez plantea reformar la Constitución para incluir la igualdad de género @lavanguardia</t>
  </si>
  <si>
    <t>https://www.lavanguardia.com/politica/20181206/453401347493/pedro-sanchez-constitucion-reformar-igualdad-de-genero.html?utm_campaign=botones_sociales&amp;utm_source=twitter&amp;utm_medium=social</t>
  </si>
  <si>
    <t>Los empresarios hablan de cómo está la economía; los economistas, de como debería estar y los políticos, como doña Lola Flores, de como me las maravillaría yo.</t>
  </si>
  <si>
    <t>http://lecheybananas.blogspot.com</t>
  </si>
  <si>
    <t>Sita</t>
  </si>
  <si>
    <t>Igual todavía no sabéis cómo funciona esto, pero el mobiliario público y todo lo que estáis destrozando no lo paga Santiago Abascal, ni Susana Díaz, ni Pablo Iglesias, ni Carmena, ni Pedro Sánchez, ni Pablo Casado. Aunque no os llegue la factura a casa, LO PAGAMOS NOSOTROS.</t>
  </si>
  <si>
    <t>Provinciana secuestrada en Madrí. Muy cántabra. Aún queda algo de Cafeína.</t>
  </si>
  <si>
    <t>Centro Covarrubias</t>
  </si>
  <si>
    <t>España tiene uno de los precios de la electricidad más altos de Europa y el plan del Gobierno lo aumentaría todavía más</t>
  </si>
  <si>
    <t>Think-tank cuya misión es la defensa del Liberalismo Cristiano. Economía de Mercado, Libertad y Cristianismo. info@centrocovarrubias.org</t>
  </si>
  <si>
    <t>http://www.centrocovarrubias.org</t>
  </si>
  <si>
    <t>⛔Barreiros⛔</t>
  </si>
  <si>
    <t>Pedro Sánchez llega entre abucheos al Congreso en el día del 40 aniversario de la Constitución  vía @ABCespana</t>
  </si>
  <si>
    <t>https://www.abc.es/espana/abci-pedro-sanchez-llega-entre-abucheos-congreso-40-aniversario-constitucion-201812061227_noticia.html#ns_campaign=rrss-inducido&amp;ns_mchannel=abc-es&amp;ns_source=tw&amp;ns_linkname=noticia-video&amp;ns_fee=0</t>
  </si>
  <si>
    <t>⛔Soy el antisistema de los antisistema⛔</t>
  </si>
  <si>
    <t>María Eugenia Eyras</t>
  </si>
  <si>
    <t>Gracias, Pedro, por este otro paso hacia la igualdad...</t>
  </si>
  <si>
    <t>https://www.lavanguardia.com/politica/20181206/453401347493/pedro-sanchez-constitucion-reformar-igualdad-de-genero.html?utm_campaign=botones_sociales_app&amp;utm_source=facebook&amp;utm_medium=social</t>
  </si>
  <si>
    <t>Soy periodista, novelista y ensayista, actualmente colaboro con la Revista Fusión. He dirigido ocho revistas y he sido columnista en revistas, radio y tv.</t>
  </si>
  <si>
    <t>http://www.mariaeugeniaeyras.wordpress.com</t>
  </si>
  <si>
    <t>Pedro Sánchez, Pablo Iglesias, Susana Díaz, Teresa Rodríguez, Casado, Rivera Soy Cristiano , Monárquico , quiero para mi Patria seguridad de las fronteras y Paz para sus ciudadanos ¿Qué hacen sus partidos en esto ?</t>
  </si>
  <si>
    <t>Paco Luis</t>
  </si>
  <si>
    <t>Los líderes del 'procés' exigen en bloque al Supremo que el juicio sea en Cataluña. ¿Habrá ya acuerdo con Pedro Sánchez y Pablo Iglesias para votar el plan general económico a cambio de esta pantomima de juicio que quieren los golpistas?  vía @indpcom</t>
  </si>
  <si>
    <t>https://www.elindependiente.com/politica/2018/12/07/los-lideres-del-proces-exigen-bloque-al-supremo-juicio-sea-cataluna/?utm_source=share_buttons&amp;utm_medium=twitter&amp;utm_campaign=social_share</t>
  </si>
  <si>
    <t>Los políticos están por debajo de la media moral e intelectual de los ciudadanos, pero están al nivel de sus votantes</t>
  </si>
  <si>
    <t>Llu RuAp</t>
  </si>
  <si>
    <t>A ver si me entero, Pedro Sanchez cambia de opinión y es el fin del mundo pero Rivera cae en contradicciones constantes y esta todo bien y justificado. Es así de coherente la cosa, no? 🤔🤔🙄🤦‍♂️</t>
  </si>
  <si>
    <t>De Valencia pero residente en Madrid. Ingeniero de profesión y tenista por afición. Seriéfilo empedernido.</t>
  </si>
  <si>
    <t>Berta García Bilbao</t>
  </si>
  <si>
    <t>https://ift.tt/2PnhuEf</t>
  </si>
  <si>
    <t>Un vaso medio vacío de vino es también uno medio lleno, pero una mentira a medias, de ningún modo es una media verdad</t>
  </si>
  <si>
    <t>VOX Sitges</t>
  </si>
  <si>
    <t>Me pregunto cuántos meses más tenemos que aguantar a éste cenutrio que es el doctor plagio.</t>
  </si>
  <si>
    <t>https://pbs.twimg.com/media/DtzKe10WwAAQOCy.jpg</t>
  </si>
  <si>
    <t>baby</t>
  </si>
  <si>
    <t>lo que le gusta a la mujer de Pedro Sánchez pasearse y chupar cámara es que me cago en mi vida RT @sterlingmrch: ¿Soy yo o no ha habido ni una sóla aparición pública de Pedro Sánchez en la que no haya sido abucheado?</t>
  </si>
  <si>
    <t>en el dunkin</t>
  </si>
  <si>
    <t>do u feel me? 👅</t>
  </si>
  <si>
    <t>Ernesto Blazquez</t>
  </si>
  <si>
    <t>Ayer en la 2 noticias, asquerosa la manipulación. Los pitidos a Pedro Sánchez dijeron que fue a todos los presidentes de gobierno y ponían imágenes de la entrada de todos pero no cambiaban el audio de los pitidos. No fue lo único. Es para ver y vomitar</t>
  </si>
  <si>
    <t>ÆPasión por EspañaÆ</t>
  </si>
  <si>
    <t>#españaesuna #stopUE #stopLGTB ¡ Que no ten engañen !. Nuevo video LibertadDigital: Abucheos a Pedro Sánchez en los actos de la Constitución</t>
  </si>
  <si>
    <t>Nacional-Sensacionalistas de extrema necesidad #EspañaEsUna #stopUE #stopOTAN #stopSionismo #stopGlobalizacion #stopInmigracion #stopIslam #stopFemimarxismo</t>
  </si>
  <si>
    <t>http://xn--pasionxespaa-khb.es</t>
  </si>
  <si>
    <t>Manuela</t>
  </si>
  <si>
    <t>Que los controle su presidente catalán que es el que está a favor de ellos. Pedro Sánchez parece que no tiene culo para hacerlo. RT @Bcnisnotcat_: Estas son imágenes de Terrasa en estos momentos. Centenares de separatistas incontrolados destrozando las calles. La policía no aparece. Hay heridos en el suelo. El Presidente del Gobierno sin comparecer. Si hace falta que se envíe el ejército pero no podemos seguir así.</t>
  </si>
  <si>
    <t>https://twitter.com/Bcnisnotcat_/status/1070802645567328256</t>
  </si>
  <si>
    <t>pic.twitter.com/jAVTfd9Hks</t>
  </si>
  <si>
    <t>Pernath I 🇪🇸</t>
  </si>
  <si>
    <t>Se acumulan las evidencias de que este tío en muy tonto. Pedro Sánchez desconoce la Constitución: pide reformarla para incluir la igualdad entre hombres y mujeres  vía @libertaddigital</t>
  </si>
  <si>
    <t>España no se merece a los políticos que se merece.🇪🇸 El socialismo te lo metes por el orto 👉👌</t>
  </si>
  <si>
    <t>Sánchez enfría el adelanto inminente: "En marzo seguiremos trabajando y gobernando"</t>
  </si>
  <si>
    <t>https://ift.tt/2EgVqdn</t>
  </si>
  <si>
    <t>Myriam</t>
  </si>
  <si>
    <t>Nunca pares, nunca te conformes, hasta que lo bueno sea mejor y lo mejor excelente.</t>
  </si>
  <si>
    <t>Axel Axel</t>
  </si>
  <si>
    <t>Queria decir una igualdad de verdad y con hechos empezando con la igualdad salarial entre hombres y mujeres. Sánchez pide incluir en la Constitución la igualdad entre hombres y mujeres... ¡que ya está en el art. 14 desde 1978!</t>
  </si>
  <si>
    <t>https://okdiario.com/espana/2018/12/07/pedro-sanchez-reformar-constitucion-incluir-igualdad-hombres-mujeres-articulo-14-desde-hace-40-anos-3437620#.XAoofbp1LR0.twitter</t>
  </si>
  <si>
    <t>playa</t>
  </si>
  <si>
    <t>Abstenerse potorristas y separatistas.Amo a los animales especialmente a los gatos.</t>
  </si>
  <si>
    <t>ENRIQUE SANCHEZ</t>
  </si>
  <si>
    <t>Felipe González informó a Rajoy del golpe que preparaba el PSOE contra Sánchez  *** ¿Felipe González por qué no informa a Pedro Sánchez del golpe para echar a Susana Díaz del PSOE,por el bien de Andalucia?</t>
  </si>
  <si>
    <t>https://www.vozpopuli.com/politica/Felipe-Gonzalez-Rajoy-PSOE-Sanchez_0_959904536.html</t>
  </si>
  <si>
    <t>https://pbs.twimg.com/media/DtzJG7jW0AEzojJ.jpg</t>
  </si>
  <si>
    <t>MADRID-ESPAÑA</t>
  </si>
  <si>
    <t>JUSTICIA &amp; ETICA PROFESIONAL</t>
  </si>
  <si>
    <t>http://enrique2311.wordpress.com</t>
  </si>
  <si>
    <t>Pedro Sánchez aleja la posibilidad de elecciones en marzo: ‘Seguiremos trabajando y gobernando’</t>
  </si>
  <si>
    <t>https://www.republica.com/2018/12/06/pedro-sanchez-aleja-la-posibilidad-de-elecciones-en-marzo-seguiremos-gobernando/</t>
  </si>
  <si>
    <t>Noticias de la red</t>
  </si>
  <si>
    <t>ECONOMÍA El populismo de Pedro Sánchez se extiende al sector energético  vía libertaddigital</t>
  </si>
  <si>
    <t>¡Las mejores noticias de la red, todo aquí! ¡Sociedad, tecnología, economía, música y mucho más! EN - @_news365</t>
  </si>
  <si>
    <t>La Voz de Almería</t>
  </si>
  <si>
    <t>Según el presidente del Gobierno, el líder de Ciudadanos, Albert Rivera, tiene claro que no va a prescindir, si los necesita, de los votos de Vox.</t>
  </si>
  <si>
    <t>http://mtr.cool/jjrzwky</t>
  </si>
  <si>
    <t>Twitter Oficial del periódico La Voz de Almería (desde 1939). Líderes en la provincia de Almería</t>
  </si>
  <si>
    <t>http://www.lavozdealmeria.com</t>
  </si>
  <si>
    <t>👉 Yo mejor me espero a la rectificacion #LaSilenciosaCat #FelizViernes #FelizFinDeSemana #FelizFinde</t>
  </si>
  <si>
    <t>http://shr.gs/YM6SmPU</t>
  </si>
  <si>
    <t>Triple_FFF</t>
  </si>
  <si>
    <t>ELECCIONES GENERALES A LA VISTA: Pedro @sanchezcastejon confía en quedarse con el centro político de cara al nuevo ciclo electoral  vía @eldiarioes</t>
  </si>
  <si>
    <t>Frescor Fraterno Facilitado</t>
  </si>
  <si>
    <t>Pedro Sánchez, Pablo Iglesias, Susana Díaz, Teresa Rodríguez, Casado, Rivera No les he votado a ninguno de ustedes ,ni a sus partidos ¿Por qué debería de cambiar de opinión , votarles y defender su opción política?</t>
  </si>
  <si>
    <t>George Orwell 67</t>
  </si>
  <si>
    <t>https://ift.tt/2rqjp17</t>
  </si>
  <si>
    <t>Español. Lo demás, en estos momentos, es accesorio...</t>
  </si>
  <si>
    <t>https://georgeorwell67.blogspot.com/</t>
  </si>
  <si>
    <t>Rafa Fumero</t>
  </si>
  <si>
    <t>Abucheos a Pedro Sánchez, ovaciones al rey emérito... los detalles del acto por los 40 años de la Constitución  vía @laSextaTV</t>
  </si>
  <si>
    <t>http://j.mp/2RKwKgc</t>
  </si>
  <si>
    <t>Analista, es noticia, reseña de hoy, fotografía, actualidad, crónicas, crítico, datos, ¿sabías?... Facebook: Enfocado por Rafael Fumero</t>
  </si>
  <si>
    <t>Manuel Artero</t>
  </si>
  <si>
    <t>https://wp.me/p8a6rH-cvM</t>
  </si>
  <si>
    <t>https://pbs.twimg.com/media/DtzHU3hXgAE0jTe.jpg</t>
  </si>
  <si>
    <t>Desde Madrid en paseata</t>
  </si>
  <si>
    <t>Con el equipaje de los reporteros camino de la personal casa de los maquis</t>
  </si>
  <si>
    <t>https://lapaseata.net/</t>
  </si>
  <si>
    <t>Daniel McEvoy Bravo</t>
  </si>
  <si>
    <t>Pedro Sánchez, después de organizar un dispositivo de 2.300 personas para los 630 inmigrantes del Aquarius, ha abandonado a su suerte a un barco español y su tripulación, lo que demuestra que aquella operación no fue humanitaria, sino propagandística.</t>
  </si>
  <si>
    <t>https://www.diarioinformacion.com/opinion/2018/12/07/moby-dick/2094710.html</t>
  </si>
  <si>
    <t>Inspector de Educación. Dirección Territorial de Educación de Alicante.</t>
  </si>
  <si>
    <t>Pere Alemany 🎗</t>
  </si>
  <si>
    <t>¿Por qué Pedro Sánchez habla con voz de pena? Porqué la da.</t>
  </si>
  <si>
    <t>Everybody lies MALLORCA❤</t>
  </si>
  <si>
    <t>PetrusVil ✞ 🇪🇸</t>
  </si>
  <si>
    <t>Sterling de Marichalar</t>
  </si>
  <si>
    <t>Mentalmente en Sevilla Spain</t>
  </si>
  <si>
    <t>Ingeniero Industrial MBA IESE Poeta y escritor RealMadrid Hobbies: La ´güasa´ Filosofía Cine OrtegayGasset La excelencia es el camino Ilustro hasta que bloqueo</t>
  </si>
  <si>
    <t>http://www.Japalpilpa.com</t>
  </si>
  <si>
    <t>Tabàrnia</t>
  </si>
  <si>
    <t>https://okdiario.com/espana/2018/12/07/han-pasado-85-dias-demanda-pedro-sanchez-sigue-sin-llegar-3437752</t>
  </si>
  <si>
    <t>Pedro Sánchez, Pablo Iglesias, Susana Díaz, Teresa Rodríguez, Casado, Rivera ¿Por Qué motivo quienes le han dado el voto de confianza a ustedes o sus partidos, se lo han de dar de nuevo?</t>
  </si>
  <si>
    <t>guillermo sanabria p</t>
  </si>
  <si>
    <t>El populismo de Pedro SÃ¡nchez se extiende al sector energÃ©tico . Están expropiando las calles, que son de los ciudadanos, las ciudades están hechas para los mismos, para vivirlas. Los atascos provocan más contaminación.</t>
  </si>
  <si>
    <t>Marilomallo</t>
  </si>
  <si>
    <t>#ElGobiernoDeLaDignidad Pedro Sánchez quiere reformar la Constitución para incluir la igualdad entre hombres y mujeres  vía @eldiarioes</t>
  </si>
  <si>
    <t>https://pbs.twimg.com/media/DtzE3qlWkAAlM2f.jpg</t>
  </si>
  <si>
    <t>DonGer</t>
  </si>
  <si>
    <t>Con cada cosa que dice, demuestra lo tonto, inculto, incompente e inepto que es...</t>
  </si>
  <si>
    <t>Solo opino. No tengo creencias políticas ni religiosas. No apoyo a nadie, ni ofendo a nadie. Quien quiera saber de mi, que lea mis twitt</t>
  </si>
  <si>
    <t>Javier Segura D</t>
  </si>
  <si>
    <t>¿Cuánto tiempo nos queda para que Pedro Sánchez reciba la pensión vitalicia?</t>
  </si>
  <si>
    <t>San Sebastián, España</t>
  </si>
  <si>
    <t>Abogado en Despacho Lawyou</t>
  </si>
  <si>
    <t>http://www.lawyoulegal.com</t>
  </si>
  <si>
    <t>Simbaad</t>
  </si>
  <si>
    <t>Pedro Sánchez confía en quedarse con el centro político de cara al nuevo ciclo electoral @derecha @centro @izquierda lo mismo de siempre para una sociedad global precarizada.. La Paz y el Bienestar Pa Cuándo</t>
  </si>
  <si>
    <t>No, no soy diplomado, licenciado ni doctorado ni tengo master alguno que esconder. Aprendiz de aprendiz cometiendo errores. Ese soy yo, tal cual. Intentándolo</t>
  </si>
  <si>
    <t>SOLO UN TONTO Y PEDRO SÁNCHEZ PUEDEN HACERLO, NO CONOCER LA CONSTITUCIÓN ESPAÑOLA Y PROMETER CUMPLIRLA... Sánchez pide incluir en la Constitución la igualdad entre hombres y mujeres... ¡que ya está en el art. 14 desde 1978!</t>
  </si>
  <si>
    <t>https://okdiario.com/espana/2018/12/07/pedro-sanchez-reformar-constitucion-incluir-igualdad-hombres-mujeres-articulo-14-desde-hace-40-anos-3437620#.XAoirX5UyAA.twitter</t>
  </si>
  <si>
    <t>https://pbs.twimg.com/media/DtzDpSHWkAAPw2i.jpg</t>
  </si>
  <si>
    <t>ATENHEA.</t>
  </si>
  <si>
    <t>@sanchezcastejon UNA PREGUNTA TONTA A VER SI LO ENTENDEMOS ,LA DERECHA GOBIERNA PARA LA DERECHA Y VOSOTROS TENEIS QUE GOBERNAR PARA TODOS ,A VER TE PUSIERON AHÍ ESPERANDO QUE GOBERNARAS PARA LA IZQUIERDA Y SINO LARGATE ,NO QUEREMOS QUE GOBIERNES PARA TODOS</t>
  </si>
  <si>
    <t>BIENVENID@S A LA REPÚBLICA INDEPENDIENTE DE MI TWITTER. NACI BAJO LOS COJONES DE PELAYU EN LA ISLA DE LA GIGIA UN 12 /04/66</t>
  </si>
  <si>
    <t>Alberto Belloch</t>
  </si>
  <si>
    <t>PEDRITO AUN NO HAS TOCADO FONDO, LAS PROXIMAS TE VAS A ENTERAR. TE DESPERTARAS DE GOLPE.</t>
  </si>
  <si>
    <t>economista jubilado</t>
  </si>
  <si>
    <t>Zenón</t>
  </si>
  <si>
    <t>ignacio ruizquintano</t>
  </si>
  <si>
    <t>Si Ortega Lara es el fascismo, habrá que parar al fascismo, y Pedro Sánchez, que es barrial, ha visto que la forma de detenerlo es no haciendo elecciones.</t>
  </si>
  <si>
    <t>https://salmonetesyanonosquedan.blogspot.com/2018/12/no-pasaran.html</t>
  </si>
  <si>
    <t>Madrid 88 (Ni uno + ni uno -)</t>
  </si>
  <si>
    <t>Burgos. Periodismo. ABC</t>
  </si>
  <si>
    <t>http://salmonetesyanonosquedan.blogspot.com/</t>
  </si>
  <si>
    <t>http://dlvr.it/Qt2bSf</t>
  </si>
  <si>
    <t>https://pbs.twimg.com/media/DtzCXvfU8AAA-co.jpg</t>
  </si>
  <si>
    <t>Antonio J. Paredes</t>
  </si>
  <si>
    <t>#Sánchez pide #incluir en la #Constitución la #igualdad entre #hombres y #mujeres... ¡que #ya_está en el art. 14 #desde 1978! 🤣🤣🤣  vía @okdiario</t>
  </si>
  <si>
    <t>No te cortes en contar tanto lo que te gusta como lo que te indigna. Yo, desde luego, no lo hago..</t>
  </si>
  <si>
    <t>Pollo</t>
  </si>
  <si>
    <t>Pedro Sánchez descubre el artículo 14 CE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</si>
  <si>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Almería, Andalucía</t>
  </si>
  <si>
    <t>Estudiante de Derecho. Serás para siempre esa sonrisa que un día quise guardar para mí. #ZCF Instagram:JesusJTorres2</t>
  </si>
  <si>
    <t>SEGUIMOS ACOMPLEJADOS POR ALGO ? CUANDO LA DERECHA GOBIERNA LO HACE PARA LAS DERECHAS ,LOS CORRUPTOS ,LOS DONANTES ,AL SERVICIO DEL IBEX, CUANDO LA IZQUIERDA GOBIERNA DICE QUE SE QUIERE QUEDAR EN EL CENTRO Y HACER LO MISMO ??AHH CLARO QUE NO SOIS IZQUIERDA</t>
  </si>
  <si>
    <t>DerechoToday</t>
  </si>
  <si>
    <t>Desvelado el tuit de Pedro Sánchez que quedó en borradores: ”Es el momento de que todos y todas hagamos la primera Constitución Española. 💪🏼💪🏼”</t>
  </si>
  <si>
    <t>Una actualidad jurídica diferente</t>
  </si>
  <si>
    <t>http://derechotoday.com</t>
  </si>
  <si>
    <t>Juan Perez Garcia</t>
  </si>
  <si>
    <t>Toda mi vida a contracorriente</t>
  </si>
  <si>
    <t>Pepito Grillo</t>
  </si>
  <si>
    <t>Lo importante no es que te sigan, sino la huella que dejaste.</t>
  </si>
  <si>
    <t>Pedro Sánchez también hará huelga de hambre en solidaridad con los presos - ESdiario.</t>
  </si>
  <si>
    <t>Tere</t>
  </si>
  <si>
    <t>Aplicándole a Pedro la doctrina Sánchez; sí, los tiene cuadrados.</t>
  </si>
  <si>
    <t>https://www.ondacero.es/programas/mas-de-uno/audios-podcast/monologo-de-alsina/sanchez-presentara-presupuestos-que-pierde-pero-intentando-convertir-derrota-en-exito-para-campana_201812055c077a6e0cf21af4301a96a1.html</t>
  </si>
  <si>
    <t>Diario ¶ El Cambio</t>
  </si>
  <si>
    <t>El periodismo es el oficio de la verdad. El periódico es la voz de la realidad. Periódico de información libre y global en español.</t>
  </si>
  <si>
    <t>https://paper.li/diarioelcambio/1484511328#</t>
  </si>
  <si>
    <t>Jaime Joaquin Vidal</t>
  </si>
  <si>
    <t>La vida te devuelve lo que le has dado. Haz el bien. La solidaridad compartida se multiplica. Concordia, libertad, justicia, honradez, humildad y respeto.</t>
  </si>
  <si>
    <t>punkrockman</t>
  </si>
  <si>
    <t>Si pedro sanchez no puede gobernar españa con 84 diputados, ( segun A.Rivera) porque el i ciudadanos quieren gobernar Andalucía con 21?</t>
  </si>
  <si>
    <t>can collons d la roca foradada</t>
  </si>
  <si>
    <t>baixista, ateu, antifeixista, ANTIMADRIDISTA A MUERTE, culer, republicà, antitauri, i punk #femxarxa</t>
  </si>
  <si>
    <t>Pedro Sánchez desconoce la Constitución: pide reformarla para incluir la igualdad entre hombres y mujeres. El okupa desconoce el artículo 14 de la carta magna</t>
  </si>
  <si>
    <t xml:space="preserve"> </t>
  </si>
  <si>
    <t>ESPAÑA🇪🇸REYNO DE VALENCIA: LA MALA INTENCIÓN QUÉ DA BUEN RESULTADO SE SUELE TENER POR VIRTUD. VCF🦇💯MI PASIÓN.</t>
  </si>
  <si>
    <t>En @elconfidencial: Sánchez, sobre el avance electoral: "En marzo seguiremos trabajando y gobernando"</t>
  </si>
  <si>
    <t>https://www.elconfidencial.com/espana/2018-12-06/pedro-sanchez-adelanto-electoral-marzo-seguiremos-trabajando-gobernando_1690978/?utm_source=twitter&amp;utm_medium=social&amp;utm_campaign=BotoneraWeb</t>
  </si>
  <si>
    <t>Mi análisis de la sucesión de despropósitos que es el anteproyecto de ley de transición energética, hoy, en @libre_mercado No se lo pierdan!</t>
  </si>
  <si>
    <t>¿Es que Pedro Sánchez, o el presidente del gobierno, no va a condenar los ataques de la extrema izquierda que se están produciendo?</t>
  </si>
  <si>
    <t>https://binged.it/2E61dkX</t>
  </si>
  <si>
    <t>https://pbs.twimg.com/media/Dty-LMtUUAAfLOK.jpg</t>
  </si>
  <si>
    <t>Pedro Sánchez celebra la detención del ultra García Juliá, autor de la matanza de Atocha: "La democracia siempre vence a sus enemigos".</t>
  </si>
  <si>
    <t>https://www.publico.es/politica/detenido-ultra-matanza-abogados-atocha-pedro-sanchez.html?utm_source=twitter&amp;utm_medium=social&amp;utm_campaign=publico</t>
  </si>
  <si>
    <t>Pedro Sánchez, sobre la posibilidad de elecciones en marzo: "Seguiremos trabajando y gobernando"  vía @eldiarioes</t>
  </si>
  <si>
    <t>https://www.eldiario.es/_324581c5</t>
  </si>
  <si>
    <t>Las Mañanas de RNE</t>
  </si>
  <si>
    <t>Hoy, en #EspañaAlas8: ▪ Pedro Sánchez enfría la idea de anticipo electoral a marzo. ▪ PP y C`s eliminan, de momento, la 'variable VOX' en sus negociaciones. ▪ Cuba estrena el servicio de datos móviles 3G. 🔊 Escucha la portada de @inigoalfonso 👉</t>
  </si>
  <si>
    <t>http://rtve.es/a/4877638</t>
  </si>
  <si>
    <t>https://pbs.twimg.com/media/Dty5I2NWsAE-XZB.jpg</t>
  </si>
  <si>
    <t>Información y entretenimiento de lunes a viernes de 06.00 horas a 13.00 horas en @rne. Presentan @inigoalfonso y @MenendezRNE</t>
  </si>
  <si>
    <t>http://www.rtve.es/lasmananas</t>
  </si>
  <si>
    <t>Cayetano Sanchez🇪🇸</t>
  </si>
  <si>
    <t>Me ha gustado un vídeo de @YouTube ( - PEDRO SÁNCHEZ ABUCHEADO A SU LLEGADA AL CONGRESO).</t>
  </si>
  <si>
    <t>http://youtu.be/6gVn8-ffUF0?a</t>
  </si>
  <si>
    <t>PEDRO SÁNCHEZ ABUCHEADO A SU LLEGADA AL CONGRESO:  vía @YouTube</t>
  </si>
  <si>
    <t>Blem</t>
  </si>
  <si>
    <t>El que nace tonto e ignorante, muere tonto e ignorante #sanchezcumfraude ⁦@sanchezcastejon⁩</t>
  </si>
  <si>
    <t>Chicago, IL</t>
  </si>
  <si>
    <t>No todo vale en política. Estaré muy al tanto de las arbitrariedades de los políticos #nonoscallaran</t>
  </si>
  <si>
    <t>Charran Español</t>
  </si>
  <si>
    <t>Pedro Sánchez también hará huelga de hambre en solidaridad con los presos  vía ESdiario_com #ElPatoCojo</t>
  </si>
  <si>
    <t>Me encanta sobrevolar una España que no sea llevada a la ruina por parte de los partidos de izquierdas.</t>
  </si>
  <si>
    <t>Ramón Triviño Barros</t>
  </si>
  <si>
    <t>#laqueseavecina El presidente del Gobierno cree que un acuerdo de PP y Ciudadanos con Vox en Andalucía le dará más espacio en la "moderación"  vía @eldiarioes</t>
  </si>
  <si>
    <t>Periodista y activista. Creo que el futuro está en nuestras manos. Retuitear no es compartir. Blogs en: http://puntoyapartert.blogspot.com.es/ y https://bit.ly/2FdPxyV</t>
  </si>
  <si>
    <t>http://plus.google.com/+RamónTriviñoBarros</t>
  </si>
  <si>
    <t>ESdiario</t>
  </si>
  <si>
    <t>Pedro Sánchez también hará huelga de hambre en solidaridad con los presos  vía @ESdiario_com #ElPatoCojo</t>
  </si>
  <si>
    <t>Getxo, España</t>
  </si>
  <si>
    <t>Tras 16 años con la realidad política, social y empresarial de España, El Semanal Digital se convierte en ESdiario. Su portal de opinión sigue en @ElSemanalD.</t>
  </si>
  <si>
    <t>http://www.esdiario.com</t>
  </si>
  <si>
    <t>https://pbs.twimg.com/media/Dty7-UVW0AAUvDI.jpg</t>
  </si>
  <si>
    <t>Paula Rodari</t>
  </si>
  <si>
    <t>Sánchez ha celebrado los 40 años de la Constitución con una metedura de pata de las que hacen época. Este es el nivel del presidente 😒.</t>
  </si>
  <si>
    <t>https://bit.ly/2L0yfnZ</t>
  </si>
  <si>
    <t>https://pbs.twimg.com/media/Dty76DEXgAA1wN-.jpg</t>
  </si>
  <si>
    <t>Vilagarcía de Arousa, España</t>
  </si>
  <si>
    <t>Mi twitter no sería el mismo si el tuyo no lo siguiera.</t>
  </si>
  <si>
    <t>LuisCarlosن ‏  🇪🇸</t>
  </si>
  <si>
    <t>Roquetas de Mar, España</t>
  </si>
  <si>
    <t>Liverdades</t>
  </si>
  <si>
    <t>http://dlvr.it/Qt2W9l</t>
  </si>
  <si>
    <t>https://pbs.twimg.com/media/Dty7gDxUUAAitNB.jpg</t>
  </si>
  <si>
    <t>Medio digital de opinión política, filosófica y social. Tu opinión es lo más importante. En Facebook https://www.facebook.com/liverdades.es/</t>
  </si>
  <si>
    <t>http://liverdades.com/</t>
  </si>
  <si>
    <t>Pedro Sánchez ve probable un 'consorcio de derechas'. La Junta convoca 3.618 plazas para personal de los servicios de Salud. Dos detenidos por robo tras ser perseguidos entre los invernaderos. #LaVozPortada</t>
  </si>
  <si>
    <t>https://pbs.twimg.com/media/Dty61uGXgAAbTZq.jpg</t>
  </si>
  <si>
    <t>Ñapa ES</t>
  </si>
  <si>
    <t>https://xn--apa-6ma.es/pedro-sanchez-confia-en-quedarse-con-el-centro-politico-de-cara-al-nuevo-ciclo-electoral/</t>
  </si>
  <si>
    <t>https://pbs.twimg.com/media/Dty6nMIW4AAh641.jpg</t>
  </si>
  <si>
    <t>https://xn--apa-6ma.es</t>
  </si>
  <si>
    <t>Anna Cristina</t>
  </si>
  <si>
    <t>Pedro Sánchez cuando se leyó la Constitución se saltó los artículos pares.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</si>
  <si>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Cambrils</t>
  </si>
  <si>
    <t>El sentido del humor y la ironía deberían ser asignatura obligatoria en colegios, institutos y universidades. Los laxantes dejarían de tener razón de ser</t>
  </si>
  <si>
    <t>Raúl Cuadrado</t>
  </si>
  <si>
    <t>Pedro Sánchez y la Constitución</t>
  </si>
  <si>
    <t>pic.twitter.com/76Su92XrdE</t>
  </si>
  <si>
    <t>Un espíritu crítico convencido de que podemos cambiar nuestro mundo. Adoro a mi familia y me apasiona mi trabajo. Me atrae la política como noble arte.</t>
  </si>
  <si>
    <t>Manuel Correa</t>
  </si>
  <si>
    <t>https://okdiario.com/espana/2018/12/07/pedro-sanchez-reformar-constitucion-incluir-igualdad-hombres-mujeres-articulo-14-desde-hace-40-anos-3437620#.XAoZRduvR4o.twitter</t>
  </si>
  <si>
    <t>Criminología. Llevo casi media vida radiopatrulleando. Tengo un sueño que no me deja dormir, y si no insistes ganan ellos.</t>
  </si>
  <si>
    <t>"Si Pedro Sánchez fuese el consejero delegado de cualquier empresa española "estaría hace tiempo de patitas en la calle". Las cifras del pánico: así conduce Pedro Sánchez al precipicio a todo el PSOE .</t>
  </si>
  <si>
    <t>VOX San Lorenzo de El Escorial</t>
  </si>
  <si>
    <t>Abucheos a Pedro Sánchez #EleccionesGeneralesYa #dimitePedro #EspañaViva 🇪🇸🇪🇸🇪🇸 RT @ABenitez_Lopez: Pedro Sánchez recibido entre pitos y abucheos en el Congreso de los Diputados, en la celebración de los #40añosDeConstitución ¡Deje de hacer el ridículo y dimita, @sanchezcastejon !</t>
  </si>
  <si>
    <t>https://twitter.com/abenitez_lopez/status/1070668873698037760</t>
  </si>
  <si>
    <t>pic.twitter.com/poma0PjQyw</t>
  </si>
  <si>
    <t>Twitter oficial de VOX en San Lorenzo de El Escorial (Madrid) Email: sanlorenzo@madrid.voxespana.es</t>
  </si>
  <si>
    <t>http://www.voxespana.es</t>
  </si>
  <si>
    <t>https://okdiario.com/espana/2018/12/07/pedro-sanchez-reformar-constitucion-incluir-igualdad-hombres-mujeres-articulo-14-desde-hace-40-anos-3437620#.XAoYdqdshXs.twitter</t>
  </si>
  <si>
    <t>wizfun</t>
  </si>
  <si>
    <t>Pedro Sánchez confía en quedarse con el centro político de cara al nuevo ciclo electoral  vía @flipboard</t>
  </si>
  <si>
    <t>http://flip.it/XckeBQ</t>
  </si>
  <si>
    <t>Bon vivant de la escuela balsámica.Sin colorantes ni conservantes.Sin azúcares añadidos.Simple y ligero https://flipboard.com/@wizfun/el-punto-link-0vl4n0l4y</t>
  </si>
  <si>
    <t>http://paper.li/wizfun/1315752719#</t>
  </si>
  <si>
    <t>MANUEL MARQUEZ</t>
  </si>
  <si>
    <t>Pues que sepamos Vox aún no ha atacado a nadie, no ha quemado nada ni ha roto escaparates. Pero si lo han hecho los socios de gobierno de Pedro Sánchez. RT @Santi_ABASCAL: Una irresponsabilidad de @elespanolcom haciéndole el juego a Podemos, a Bildu y los CDR, que pretenden deshumanizarnos para atacarnos impúnemente. Una verdadera pena @pedroj_ramirez</t>
  </si>
  <si>
    <t>https://twitter.com/Santi_ABASCAL/status/1070802202787241984
https://twitter.com/FrayJosepho/status/1070786718683619328</t>
  </si>
  <si>
    <t>Español. De derechas y Madridista.</t>
  </si>
  <si>
    <t>sebastian melgares</t>
  </si>
  <si>
    <t>Agora Camp de Túria</t>
  </si>
  <si>
    <t>Pedro Sánchez confía en quedarse con el centro político de cara al nuevo ciclo electoral  Digital con información global y notícias periódicas de los municipios de San Antonio Benagéber, Eliana, Pobla de Vallbona, Bétera, Riba-roja, Benaguasil, Serra y Ca…</t>
  </si>
  <si>
    <t>https://cronicadigitalcomarcalp.blogspot.com/2018/12/pedro-sanchez-confia-en-quedarse-con-el_7.html</t>
  </si>
  <si>
    <t>https://pbs.twimg.com/media/Dty3im_WoAAoWAW.jpg</t>
  </si>
  <si>
    <t>Camp de Túria</t>
  </si>
  <si>
    <t>Notícies Camp de Túria</t>
  </si>
  <si>
    <t>http://cronicadigitalcomarcal.blogspot.com</t>
  </si>
  <si>
    <t>https://pbs.twimg.com/media/Dty3hb6VsAAkO_v.jpg</t>
  </si>
  <si>
    <t>Inalterable</t>
  </si>
  <si>
    <t>Pedro Sánchez confía en quedarse con el centro político de cara al nuevo ciclo electoral  Vía @eldiarioes</t>
  </si>
  <si>
    <t>Pensamiento difuso #15M #DDHH #LuchaDeClases</t>
  </si>
  <si>
    <t>ElRichal</t>
  </si>
  <si>
    <t>De lo que se preocupa el ministro estrella de pedro sanchez . Tiene todas las prisiones reventadas y a los funcionarios en pie de guerra y esta loca se indigna porque no le invitan a sus boys a un sarao . Que fuerteeee jooo !!! RT @garrote1976: #sosprisiones Valiera más se dedicaran en su departamento a solucionar los conflictos que tienen encima de la mesa y no a mirar quien va y quien no a un acto...</t>
  </si>
  <si>
    <t>https://twitter.com/garrote1976/status/1070757055353491456
https://www.europapress.es/nacional/noticia-marlaska-traslada-malestar-pastor-ausencia-representantes-guardia-civil-policia-20181206172251.html</t>
  </si>
  <si>
    <t>Buenos días a pesar de Pedro Sánchez y Gabriel Rufián.</t>
  </si>
  <si>
    <t>Más De Uno</t>
  </si>
  <si>
    <t>❓#Las7Preguntas de @Ruben_Amon: "Pedro Sanchez descarta que las elecciones sean en marzo. ¿Quiere eso decir que las elecciones serán en marzo?" ▶️</t>
  </si>
  <si>
    <t>https://www.ondacero.es/directo/</t>
  </si>
  <si>
    <t>https://pbs.twimg.com/media/Dty2Yf8WoAYCs6C.jpg</t>
  </si>
  <si>
    <t>Información y entretenimiento con @carlos__alsina. De lunes a viernes de 6:00 a 12:30 en @OndaCero_es.</t>
  </si>
  <si>
    <t>http://www.ondacero.es/masdeuno/</t>
  </si>
  <si>
    <t>Liberal Enfurruñada</t>
  </si>
  <si>
    <t>https://okdiario.com/espana/2018/12/07/pedro-sanchez-reformar-constitucion-incluir-igualdad-hombres-mujeres-articulo-14-desde-hace-40-anos-3437620#.XAoVzZyrT9M.twitter</t>
  </si>
  <si>
    <t>Por la libertad, así como por la honra, se puede y debe aventurar la vida. @okdiario https://www.facebook.com/muyliberal Frases Liberales: https://goo.gl/5dpESU</t>
  </si>
  <si>
    <t>https://okdiario.com/autor/liberal</t>
  </si>
  <si>
    <t>Moncho</t>
  </si>
  <si>
    <t>Por favor mas sentido comun y un poquito de cultura, se nota q tu formacion es un total PLAGIO y q tu incultura es un gen propio.</t>
  </si>
  <si>
    <t>Español (Gallego) amo la inmensa diversidad de culturas, lenguas y gentes de este Gran y Hermoso País.</t>
  </si>
  <si>
    <t>Furtado Garcia</t>
  </si>
  <si>
    <t>http://chng.it/vQjfNMqQ</t>
  </si>
  <si>
    <t>Feminista, anticapitalista, anticlerical, transgénero...</t>
  </si>
  <si>
    <t>José vicente</t>
  </si>
  <si>
    <t>https://okdiario.com/espana/2018/12/07/pedro-sanchez-reformar-constitucion-incluir-igualdad-hombres-mujeres-articulo-14-desde-hace-40-anos-3437620#.XAoVBbA0JjU.twitter</t>
  </si>
  <si>
    <t>#LaSilenciosaCat #EleccionesGeneralesYa #YoNoSoyFachaSoyEspañol #SIaLaCartaMagna #SinComplejos Normal. Dijo que convocaría elecciones y se ha enquistado en Moncloa...  vía @ESdiario_com</t>
  </si>
  <si>
    <t>https://pbs.twimg.com/media/DtwOIsFXQAAKZuX.jpg</t>
  </si>
  <si>
    <t>Barcelona, Espanya</t>
  </si>
  <si>
    <t>http://dlvr.it/Qt2Rj6</t>
  </si>
  <si>
    <t>https://pbs.twimg.com/media/Dty0pOAUwAAwoRn.jpg</t>
  </si>
  <si>
    <t>Pedro Sánchez y Dolores Delgado dijeron hace apenas unos días que sus socios de Gobierno son 'totalmente constitucionalistas'. Ninguno ha acudido a los actos de conmemoración del 40° aniversario, saludado, aplaudido o no atacado la Constitución públicamente en su aniversario. 🤔</t>
  </si>
  <si>
    <t>Libre Mercado</t>
  </si>
  <si>
    <t>http://dlvr.it/Qt2RHr</t>
  </si>
  <si>
    <t>El diario económico de @libertaddigital Síguenos también en http://facebook.com/libre.mercado</t>
  </si>
  <si>
    <t>http://www.libremercado.com</t>
  </si>
  <si>
    <t>TurboNoticias</t>
  </si>
  <si>
    <t>Sígueme si quieres estar al día de las últimas noticias de la red!!</t>
  </si>
  <si>
    <t>#Naranjito Exprés</t>
  </si>
  <si>
    <t>#Economía El populismo de Pedro Sánchez se extiende al sector energético</t>
  </si>
  <si>
    <t>https://ift.tt/2PnXmSd</t>
  </si>
  <si>
    <t>Carmen San Carlos🇪🇸</t>
  </si>
  <si>
    <t>Noticias de #Ciudadanos Toda la actualidad de #Cs y @Albert_Rivera, #YoSoyNaranjito #Ciutadans / NO-OFICIAL</t>
  </si>
  <si>
    <t>#VivaEspaña #VivaElRey ¡Si a la vida!!! ¡Yes, to life!!! #MakeAmericaGreatAgain #CataloniaSpainEurope #NoToFarc #BCNConFelipeVI</t>
  </si>
  <si>
    <t>Jorge Urreta</t>
  </si>
  <si>
    <t>http://dlvr.it/Qt2Qtk</t>
  </si>
  <si>
    <t>https://pbs.twimg.com/media/DtyzQXcV4AEN5Y6.jpg</t>
  </si>
  <si>
    <t>Asturias / Vizcaya</t>
  </si>
  <si>
    <t>Incansable #escritor de novelas de intriga. ¿Lo último? Venganza (@libroscom) http://jorgeurreta.com</t>
  </si>
  <si>
    <t>http://www.jorgeurreta.com</t>
  </si>
  <si>
    <t>Juan Jose Layda</t>
  </si>
  <si>
    <t>Ing. Industrial Vpte Ingeniería y Desarrollo Sostenible Instituto Ingeniería de España. PresidenteMediAmbienteCOIIM.AIIM Fundacion EconomíaCircular #Renovables</t>
  </si>
  <si>
    <t>https://www.linkedin.com/in/juan-jose-layda-ferrer-312443b/</t>
  </si>
  <si>
    <t>alto a la invasión.</t>
  </si>
  <si>
    <t>El gobierno de Pedro Sánchez practica el "buenismo", si vas en la calle no puedes decir la verdad,si me quejo de esta inmigración de poca calidad, automáticamente eres un racista.contracultura.</t>
  </si>
  <si>
    <t>https://pbs.twimg.com/media/DtyyfzGWwAAQ-G1.jpg</t>
  </si>
  <si>
    <t>Pedro Sánchez confía en quedarse con el centro político de cara al nuevo ciclo electoral  Por @irecr</t>
  </si>
  <si>
    <t>Pedro Sánchez desconoce la Constitución: pide reformarla para incluir la igualdad entre hombres y mujeres @sanchezcastejon  via @libertaddigital</t>
  </si>
  <si>
    <t>https://pbs.twimg.com/media/DtyySq0WoAAftx2.jpg</t>
  </si>
  <si>
    <t>http://www.veoinfo.com/pedro-sanchez-confia-en-quedarse-con-el-centro-politico-de-cara-al-nuevo-ciclo-electoral/</t>
  </si>
  <si>
    <t>https://pbs.twimg.com/media/DtyvdKwVsAA5eqB.jpg</t>
  </si>
  <si>
    <t>cesar Alcala</t>
  </si>
  <si>
    <t>Pedro Sánchez: "Reformemos la Constitución para incluir en ella uno de nuestros mayores avances: la igualdad entre hombres y mujeres". Constitución Artículo 14: "no se puede discriminar por razón de sexo". Lo de siempre.</t>
  </si>
  <si>
    <t>Nie dam sie</t>
  </si>
  <si>
    <t>anestesia Total.</t>
  </si>
  <si>
    <t>https://okdiario.com/espana/2018/12/07/pedro-sanchez-reformar-constitucion-incluir-igualdad-hombres-mujeres-articulo-14-desde-hace-40-anos-3437620#.XAoN8QsWcp8.twitter</t>
  </si>
  <si>
    <t>ESPAÑOL y MADRIDISTA .... no me entiende ni Dios,me vas a entender tu ;que además eres gilipollas.. o gilipollo...No se nos ofenda nadie.</t>
  </si>
  <si>
    <t>Espina Tabarnia . Siempre nuestra Reina Doña Sofia</t>
  </si>
  <si>
    <t>https://okdiario.com/espana/2018/12/07/pedro-sanchez-reformar-constitucion-incluir-igualdad-hombres-mujeres-articulo-14-desde-hace-40-anos-3437620#.XAoNvdK9zCs.twitter</t>
  </si>
  <si>
    <t>Islas Baleares, España</t>
  </si>
  <si>
    <t>Española . Volviendo a casa</t>
  </si>
  <si>
    <t>Enrique Iñiguez</t>
  </si>
  <si>
    <t>PODEMOS; ESTA LLEVANDO EL VANDALISMO A LAS CALLES DE ESPAÑA CON LA CONNIVENCIA DEL PRESIDENTE DEL GOBIERNO, PEDRO SANCHEZ. (E.I.B. .- UN CIUDADANO DEL MUNDO)</t>
  </si>
  <si>
    <t>https://pbs.twimg.com/media/DtytjPcWwAEQ86G.jpg</t>
  </si>
  <si>
    <t>Soy Cristiano y Catolico (Practicante) y mi mayor Deseo; es Agradar a Dios y Ayudar,❤️ a la Humanidad.</t>
  </si>
  <si>
    <t>Palmira G🇪🇸🇪🇸</t>
  </si>
  <si>
    <t>Pedro Sánchez descarta elecciones en marzo pero abre la puerta a mayo , por @KettyGarat  vía @libertaddigital</t>
  </si>
  <si>
    <t>La discrepancia no me ofende es más puede ser positiva. Lo q no admito son los insultos. No busco relaciones . Abstenerse ligones.</t>
  </si>
  <si>
    <t>Nicolás Fabelo</t>
  </si>
  <si>
    <t>Pedro Sánchez quiere reformar la Constitución para incluir algo que ya está  vía @eldiarioes #40AñosdeConstitución #FelizFinde</t>
  </si>
  <si>
    <t>Escritor canario en Madrid</t>
  </si>
  <si>
    <t>Es mejor publicar que robar. http://amzn.to/2cl5bpc Aficionado a la Física y la Cosmología / Physics and Cosmology fan. ¡Y a la UD Las Palmas!</t>
  </si>
  <si>
    <t>http://picandovoy.blogspot.com/</t>
  </si>
  <si>
    <t>Miguel Castro Castro</t>
  </si>
  <si>
    <t>"Fuera, fuera": pitos y abucheos a Pedro Sánchez a su llegada al Congreso para el acto del Día de la Constitución Toda la ULTRA DERECHA. Encarnada en PP-C’s-VOX</t>
  </si>
  <si>
    <t>https://m.eldiario.es/politica/Pedro-Sanchez-Congreso-Dia-Constitucion_0_843415844.html</t>
  </si>
  <si>
    <t>LUGO</t>
  </si>
  <si>
    <t>Ex interventor en ruta de RENFE. Ex sindicalista U. G. T. De los que nuncan se callan. antes Vigo, Orense, Vigo ahora LUGO. #SemprePSOE</t>
  </si>
  <si>
    <t>CharlieHarper</t>
  </si>
  <si>
    <t>http://www.citizengo.org/hazteoir/166670-no-expolie-por-segunda-vez-archivo-salamanca?tc=tw&amp;tcid=52564243</t>
  </si>
  <si>
    <t>Malibù</t>
  </si>
  <si>
    <t>Diós me perdonarà; es su oficio</t>
  </si>
  <si>
    <t>Mathu_salen</t>
  </si>
  <si>
    <t>Jubilado en activo.</t>
  </si>
  <si>
    <t>Miguel shin</t>
  </si>
  <si>
    <t>Hasta los cojones de que por unos cuantos descerebrados digan que los de Podemos son unos salvajes y que los de vox unas hermanas de la caridad. Les recuerdo que quien queria acabar con la vida de Pedro Sanchez era de vox, y que hace no mucho agredieron a uno de IU. Por no (sigo)</t>
  </si>
  <si>
    <t>Ingeniero Informático, Me encantan los comics, las series, los animales, y el gym. Gamer y japanófilo. De izquierdas.</t>
  </si>
  <si>
    <t>https://pbs.twimg.com/media/DtwLdjvWwAEVsJB.jpg</t>
  </si>
  <si>
    <t>Rogerdaflor</t>
  </si>
  <si>
    <t>Los abucheos serán por algo, digo yo. Sánchez, abucheado durante varios minutos: "¡Convoca elecciones!"  vía @libertaddigital</t>
  </si>
  <si>
    <t>Buscador de la Verdad. No me interesa el mundo más que como un medio para viajar hacia ella.</t>
  </si>
  <si>
    <t>Drone Veracruz</t>
  </si>
  <si>
    <t>Pedro Sánchez levanta el control de las cuentas de la Generalitat de Cataluña</t>
  </si>
  <si>
    <t>https://droneveracruz.com/pedro-sanchez-levanta-el-control-de-las-cuentas-de-la-generalitat-de-cataluna</t>
  </si>
  <si>
    <t>https://pbs.twimg.com/media/DtyfJ67U0AA1gZ9.jpg</t>
  </si>
  <si>
    <t>Veracruz</t>
  </si>
  <si>
    <t>Colibri Imagenes #Aereas no conoce límites. Somos un prolífico equipo de especialistas en #cinematografía aérea. En #Veracruz. #Video y #fotografía #aérea</t>
  </si>
  <si>
    <t>https://droneveracruz.com</t>
  </si>
  <si>
    <t>Futbolred.com</t>
  </si>
  <si>
    <t>Demandan a Atlético Nacional: Club Pedro Sellares pide dinero por Dávinson Sánchez El cuadro vallecaucano reclama unos pagos por el pase del exdefensor verdolaga, hoy en Inglaterra</t>
  </si>
  <si>
    <t>http://ow.ly/MQwF30mTkMf</t>
  </si>
  <si>
    <t>https://pbs.twimg.com/media/DtyfIBRW0AA_PdI.jpg</t>
  </si>
  <si>
    <t>Bogotá</t>
  </si>
  <si>
    <t>Noticias 📋y estadísticas 📈 del fútbol profesional en Colombia y el mundo ⚽️ Síganos en Instagram como @Futbolredcom</t>
  </si>
  <si>
    <t>http://www.futbolred.com</t>
  </si>
  <si>
    <t>Emilio Garcia</t>
  </si>
  <si>
    <t>Oportunidad para que Susana Diaz ejerza esa responsabilidad que en su día pidió a Pedro Sánchez. Si naces para martillo, del cielo te caen los clavos .... Casado excluye a Vox de la negociación y solo ve como interlocutor a Ciudadanos en Andalucía  @el_pais</t>
  </si>
  <si>
    <t>https://elpais.com/politica/2018/12/06/actualidad/1544111232_167769.html?id_externo_rsoc=TW_CC</t>
  </si>
  <si>
    <t>Funcionario. Opiniones personales y no toma posición de mi empleador. RT no es compartir opinión. #Marathonian #TransAlly #MovieAddicted</t>
  </si>
  <si>
    <t>http://flavors.me/egarciagarcia</t>
  </si>
  <si>
    <t>Pedro Sánchez, abucheado a su llegada al Congreso en el día del 40 aniversario de la Constitución</t>
  </si>
  <si>
    <t>http://ver.abc.es/twnsz2</t>
  </si>
  <si>
    <t>MPARRAS</t>
  </si>
  <si>
    <t>Pedro Sanchez en el trailer de PUBG para móvil.</t>
  </si>
  <si>
    <t>https://pbs.twimg.com/media/DtyXpCfWoAA65NV.jpg</t>
  </si>
  <si>
    <t>Cazatrofeos de PS3/PS4. Hago guías de trofeos en Youtube y LaPS4. Me gusta Nintendo y Sony. Twitter dedicado 100% a hablar de videojuegos y trofeos de PS.</t>
  </si>
  <si>
    <t>http://www.laps4.com/foro/network.php?do=listguides&amp;author=148518</t>
  </si>
  <si>
    <t>Orange boi🎄stage 2</t>
  </si>
  <si>
    <t>Que hace Pedro Sanchez en un trailer del PUBG #TheGameAwards</t>
  </si>
  <si>
    <t>https://pbs.twimg.com/media/DtyXJs1X4AAgzYo.jpg</t>
  </si>
  <si>
    <t>Si tu ahora estas aquí, no puedes estar en otro lugar // Wake up lieutenant 👏👏👏👏</t>
  </si>
  <si>
    <t>http://myanimelist.net/profile/hectorbaiges23</t>
  </si>
  <si>
    <t>MetalCarlos 🎅</t>
  </si>
  <si>
    <t>Qué hace Pedro Sanchez en el PUBG del móvil ?</t>
  </si>
  <si>
    <t>https://pbs.twimg.com/media/DtyXGtdX4AAMJwU.jpg</t>
  </si>
  <si>
    <t>#DiaDeLaConstitucion 📖 Cuarenta años de progreso, por @sanchezcastejon</t>
  </si>
  <si>
    <t>giorgiflurri</t>
  </si>
  <si>
    <t>PEDRO SÁNCHEZ EN EL ANUNCIO DEL PUBG</t>
  </si>
  <si>
    <t>http://lrzn.es/ktuba2</t>
  </si>
  <si>
    <t>https://pbs.twimg.com/media/DtxidVlWoAI6f3D.jpg</t>
  </si>
  <si>
    <t>hola</t>
  </si>
  <si>
    <t>🖤Såяяêтн雨男🏴‍☠️</t>
  </si>
  <si>
    <t>HE VISTO A PEDRO SANCHEZ JUGANDO AL PUBG!?!?</t>
  </si>
  <si>
    <t>Isla Vasileostrovsky</t>
  </si>
  <si>
    <t>Burzum, ghâsh, ishi, golondrinas, cocos, piratas, mucho queso, brujería y más algarabías delirantes son las que te puedes encontrar 🍷🍒🥥🦑🎲🏛️🗿🔮⚗️♨️🕳️</t>
  </si>
  <si>
    <t>https://curiouscat.me/HandsForSully</t>
  </si>
  <si>
    <t>Carbó</t>
  </si>
  <si>
    <t>que hace pedro sanchez en el pubg</t>
  </si>
  <si>
    <t>https://pbs.twimg.com/media/DtyXFR2WoAAi_P7.jpg</t>
  </si>
  <si>
    <t>Cataluña, Barcelona</t>
  </si>
  <si>
    <t>Explorador del abismo el cual busca un porqué a cosas que no deberían existir. Todo lo que no sea RT es original mio así que joseadlo.</t>
  </si>
  <si>
    <t>https://www.twitch.tv/prototaip55</t>
  </si>
  <si>
    <t>GALLINA_PANTACAS</t>
  </si>
  <si>
    <t>que hacia pedro sanchez en el anuncio del pubg</t>
  </si>
  <si>
    <t>Pitch Blease</t>
  </si>
  <si>
    <t>Poke</t>
  </si>
  <si>
    <t>PEDRO SANCHEZ EN EL ANUNCIO DEL PUBG MOVIL??¿?¿</t>
  </si>
  <si>
    <t>Lugo</t>
  </si>
  <si>
    <t>As president of Kaiba Corp I declare this INVALID</t>
  </si>
  <si>
    <t>https://curiouscat.me/Pokee</t>
  </si>
  <si>
    <t>https://pbs.twimg.com/media/DtyWaeoWoAAn-t6.jpg</t>
  </si>
  <si>
    <t>Orlando Hernandez</t>
  </si>
  <si>
    <t>Pedro Sánchez abogó por eliminar la inviolabilidad del rey de España | En el Mundo -   vía @GoogleNews</t>
  </si>
  <si>
    <t>http://2001.com.ve
http://www.2001.com.ve/en-el-mundo/197861/pedro-sanchez-abogo-por-eliminar-la-inviolabilidad-del-rey-de-espana.html</t>
  </si>
  <si>
    <t>https://pbs.twimg.com/media/DtyU-UOX4AAR5mz.jpg</t>
  </si>
  <si>
    <t>https://pbs.twimg.com/media/DtySwqyWwAIEUQz.jpg</t>
  </si>
  <si>
    <t>Blue Dragon</t>
  </si>
  <si>
    <t>Phil Spencer, el Pedro Sánchez de los videojuegos.</t>
  </si>
  <si>
    <t>Get cancer Yasuo, Fizz &amp; Talon</t>
  </si>
  <si>
    <t>❖ ♀️ — LGT[B] 🏳️‍🌈 || I like furries and cute stuff. — A bit salty. || I love science and scientism. || [ENG/ESP] ﹝@SverigeLioness &amp; @Alagasia's foxy~﹞💜</t>
  </si>
  <si>
    <t>CARLOS CERVERA</t>
  </si>
  <si>
    <t>Pedro Sánchez llega entre abucheos al Congreso en el día del 40 aniversario de la Constitución  via @ABCespana</t>
  </si>
  <si>
    <t>https://www.abc.es/espana/abci-pedro-sanchez-llega-entre-abucheos-congreso-40-aniversario-constitucion-201812061227_noticia.html#ns_campaign=amp-rrss-inducido&amp;ns_mchannel=abc-es&amp;ns_source=tw&amp;ns_linkname=noticia.video&amp;ns_fee=0</t>
  </si>
  <si>
    <t>Pedro Sánchez asegura que en marzo el Gobierno seguirá "trabajando y gobernando"</t>
  </si>
  <si>
    <t>https://www.publico.es/politica/dia-constitucion-sanchez-asegura-marzo-gobierno-seguira-trabajando-gobernando.html?utm_source=twitter&amp;utm_medium=social&amp;utm_campaign=publico</t>
  </si>
  <si>
    <t>#LoMásLeído 👉 Pedro Sánchez llega entre abucheos al Congreso en el día del 40 aniversario de la Constitución</t>
  </si>
  <si>
    <t>http://ver.abc.es/twnsz4</t>
  </si>
  <si>
    <t>carlos fernando quir</t>
  </si>
  <si>
    <t>Demandan a Nacional: Club Pedro Sellares pide dinero por Dávinson  vía @futbolred</t>
  </si>
  <si>
    <t>Es increible, tener que convivir con estos independentistas que como no están de acuerdo con la constitucion, rompen la ciudad por donde pasan @sanchezcastejon , tú Pedro Sánchez les das alas y eres responsable se todo esto asociándote con esta gentuza. RT @Bcnisnotcat_: ¡¡ATENCIÓN!! Pedimos ayuda a toda #España. Los separatistas están provocando altercados en toda Cataluña. Han escogido el día de la Constitución para tomar las calles. Los medios lo silencian. Ya no podemos más. EXIJIMOS QUE SE APLIQUE EL ARTÍCULO 155. A qué espera el presidente?</t>
  </si>
  <si>
    <t>https://futbolred.com/futbol-colombiano/liga-aguila/atletico-nacional-es-demandado-por-pagos-por-davinson-sanchez-91080</t>
  </si>
  <si>
    <t>simacota santander.</t>
  </si>
  <si>
    <t>Me apasiona Servirle a mi Gente, me apasiona lo Social. Concejal Simacota Santander.</t>
  </si>
  <si>
    <t>Blak Sneak</t>
  </si>
  <si>
    <t>A Pedro Sánchez Orozco le gustaría chatear contigo en Skype. ¡Es gratis!</t>
  </si>
  <si>
    <t>https://join.skype.com/invite/v2PwAwHO2Ahw</t>
  </si>
  <si>
    <t>mexico</t>
  </si>
  <si>
    <t>soy un poco serio pero muy elocuente</t>
  </si>
  <si>
    <t>Radio Canal 95</t>
  </si>
  <si>
    <t>Evita El Sida, Entrvista a Pedro Sanchez</t>
  </si>
  <si>
    <t>http://youtu.be/0v4XvZTDqyg?a</t>
  </si>
  <si>
    <t>Antofagasta</t>
  </si>
  <si>
    <t>Unika... 88.1 Antofagasta 89.1 Calama 98.1 Mejillones 89.9 Tocopilla</t>
  </si>
  <si>
    <t>http://www.canal95.cl</t>
  </si>
  <si>
    <t>Josean Dur</t>
  </si>
  <si>
    <t>https://pbs.twimg.com/media/DtyDy9SXcAI8Jk1.jpg</t>
  </si>
  <si>
    <t>Abelardo Francisco</t>
  </si>
  <si>
    <t>Sánchez aleja el calendario electoral y pedirá una reunión con Torra el 21-D  via @SquidAppES</t>
  </si>
  <si>
    <t>http://go.squidapp.co/n/Et7OZ4L</t>
  </si>
  <si>
    <t>Alcalá de Henares</t>
  </si>
  <si>
    <t>De Cartagena, me crié en Tánger, Kenitra,Almería y Madrid. Ingeniería Tª Industrial Electrica en Madrid.Trabajo en Red Electrica de España. NO voto a corruptos.</t>
  </si>
  <si>
    <t>https://profiles.google.com/abelfranc#abelfranc/about</t>
  </si>
  <si>
    <t>https://pbs.twimg.com/media/DtwLoMtXQAIkp7L.jpg</t>
  </si>
  <si>
    <t>María De Jesús C.G.1</t>
  </si>
  <si>
    <t>«Pedro Sánchez ha persistido en una pésima interpretación de la moción de censura que le llevó a la presidencia del Gobierno. La llamada 'coalición de rechazo' (...) prosperó porque se trataba de echar a Mariano Rajoy, pero no de investirle a él». .@sanchezcastejon</t>
  </si>
  <si>
    <t>Oirschoot</t>
  </si>
  <si>
    <t>Pedro Sánchez aleja la posibilidad de elecciones en marzo: “Seguiremos gobernando”  via @elpais_espana</t>
  </si>
  <si>
    <t>«Y es que cuando existe el amor, basta con estar; la presencia de Dios todo lo llena, todo lo colma».♥ ♥</t>
  </si>
  <si>
    <t>El Dr. cum fraude, @sanchezcastejon, desconoce la Constitución de su propio país:) será experto en derecho Internacional :)</t>
  </si>
  <si>
    <t>https://pbs.twimg.com/media/DtyCtdcXQAAyoFA.jpg</t>
  </si>
  <si>
    <t>El PSOE seguiría siendo la fuerza más votada en unas hipotéticas elecciones generales, según el CIS. Con un 31,2% de los votos el partido de Pedro Sánchez dominaría la política en #España</t>
  </si>
  <si>
    <t>http://ow.ly/OlSy30mTe8u</t>
  </si>
  <si>
    <t>https://pbs.twimg.com/media/Dtx6fPYWsAESsGk.jpg</t>
  </si>
  <si>
    <t>Víctor Zurita 🇪🇸</t>
  </si>
  <si>
    <t>Pedro Sánchez, el dr. fraude, ha sido abucheado al acudir al Congreso de los Diputados, al 40 aniversario de la Constitución. Su impostura y errático proceder causa repulsa e indignación allá donde vaya. Será fulminado por incompetencia e insensatez manifiesta.🇪🇸</t>
  </si>
  <si>
    <t>https://pbs.twimg.com/media/Dtx4oNuW4AMm09m.jpg</t>
  </si>
  <si>
    <t>Elecciones Generales ya 🇪🇸</t>
  </si>
  <si>
    <t>«Pedro Sánchez, por su parte, ha fracasado al intentar prolongar un Gobierno sin fortalezas y al creer que podía hacerlo sin costes. Y el PSOE en general fracasa en su harakiri a cámara lenta». .@sanchezcastejon @PSOE @psoedeandalucia</t>
  </si>
  <si>
    <t>https://pbs.twimg.com/media/Dtx4AFcXcAEDsEs.jpg</t>
  </si>
  <si>
    <t>Nacional Rey d Copas</t>
  </si>
  <si>
    <t>Demandan a Nacional: Club Pedro Sellares pide dinero por Dávinson</t>
  </si>
  <si>
    <t>https://www.futbolred.com/futbol-colombiano/liga-aguila/atletico-nacional-es-demandado-por-pagos-por-davinson-sanchez-91080</t>
  </si>
  <si>
    <t>Medellín, Colombia</t>
  </si>
  <si>
    <t>Atlético Nacional, el más grande y popular del país.</t>
  </si>
  <si>
    <t>https://www.facebook.com/nacionaloficialreydecopas</t>
  </si>
  <si>
    <t>Esteban⚡</t>
  </si>
  <si>
    <t>sinceramente si fuera Pedro Sánchez aumentaría las penas para los abusos que según la ley no son violaciones, ya sea sin o con, la mujer no debe sufrir eso. Por otra parte reduciría Parlamento y Congreso con 1/3 parte de lo que dispone, así habría menos corrupción quiero creer.</t>
  </si>
  <si>
    <t>Cádiz, España</t>
  </si>
  <si>
    <t>https://pbs.twimg.com/media/DtvJGiLW0AAhUcI.jpg</t>
  </si>
  <si>
    <t>bubblegum bitch</t>
  </si>
  <si>
    <t>Mi hermana acaba de decir "Acho que pibón el pedro Sánchez" jsks tiene 15 años</t>
  </si>
  <si>
    <t>perdida en murcia</t>
  </si>
  <si>
    <t>Nací el 28 de diciembre porque mi vida estaba destinada a ser una broma de mal gusto Vegan LG(B)T spn twd ♀️ mcu</t>
  </si>
  <si>
    <t>https://curiouscat.me/cryingwithsatan</t>
  </si>
  <si>
    <t>RTurdero</t>
  </si>
  <si>
    <t>Qué buen mozo es Pedro Sánchez tío</t>
  </si>
  <si>
    <t>Caída del catre. Acá en el culo del mundo.</t>
  </si>
  <si>
    <t>https://pbs.twimg.com/media/DtxrhEuW0AEtLxE.jpg</t>
  </si>
  <si>
    <t>Pepe Oneto</t>
  </si>
  <si>
    <t>Sánchez no forzará el relevo de Susana Díaz: dejará que sea el PSOE andaluz el que la fulmine</t>
  </si>
  <si>
    <t>https://okdiario.com/espana/2018/12/06/pedro-sanchez-no-forzara-relevo-susana-diaz-dejara-psoe-andaluz-fulmine-3434507#.XAnI6MWjGA4.twitter</t>
  </si>
  <si>
    <t>Periodista que ha pasado por diarios, semanarios, radios y televisiones escritor de libros políticos, melómano y escéptico</t>
  </si>
  <si>
    <t>http://www.xn--repblica-q5a.com/josé_oneto/</t>
  </si>
  <si>
    <t>DE CUETO - SANTANDER</t>
  </si>
  <si>
    <t>UN Watch en Español</t>
  </si>
  <si>
    <t>Nuevamente, #Cuba detiene a defensora de los #DerechosHumanos Berta Soler, líder de "Damas de Blanco". Durante dos años ha sido detenida regularmente por pedir la libertad de presos políticos. Aún así, el régimen cubano es miembro del Consejo de DD.HH.</t>
  </si>
  <si>
    <t>https://www.abc.es/internacional/abci-lider-damas-blanco-detenida-veces-mientras-pedro-sanchez-estaba-cuba-201811281827_noticia.html#ns_campaign=rrss&amp;ns_mchannel=abc-es&amp;ns_source=tw&amp;ns_linkname=cm-automaticomundo&amp;ns_fee=0</t>
  </si>
  <si>
    <t>Ginebra</t>
  </si>
  <si>
    <t>UN Watch es una organización de derechos humanos, con sede en Ginebra, fundada en 1993 para monitorear el cumplimiento de la ONU de los principios de su Carta.</t>
  </si>
  <si>
    <t>http://www.unwatch.org/es/</t>
  </si>
  <si>
    <t>Santander, Cantabria - España</t>
  </si>
  <si>
    <t>- LA VOZ DE ESPAÑA - Lealtad, Justicia, Amor, Contundencia y Firmeza. ¡ #ConservadorLiberal ! - SILENCIO/BLOQUEO a #PODEMATAS y TRAIDORES ASQUEROSOS por SISTEMA</t>
  </si>
  <si>
    <t>https://www.facebook.com/josealberto.rodriguezarroyo.9</t>
  </si>
  <si>
    <t>Javier Camarero ن</t>
  </si>
  <si>
    <t>Los científicos estudiáis el mundo tal como es, mientras que los ingenieros creamos el mundo que nunca ha sido. Joróbate Sheldon Cooper.</t>
  </si>
  <si>
    <t>Sánchez se lleva la bronca del día  vía @nortecastilla</t>
  </si>
  <si>
    <t>https://www.elnortedecastilla.es/40-aniversario-constitucion/pedro-sanchez-lleva-20181206123919-ntrc.html</t>
  </si>
  <si>
    <t>Isawissex</t>
  </si>
  <si>
    <t>Venezuela- Oxford UK</t>
  </si>
  <si>
    <t>Journalist, was born in Caracas, I love chocolate, good music, hobbies, professional traveler🇬🇧❤️🇻🇪</t>
  </si>
  <si>
    <t>#DiaDeLaConstitucion 📖 Cuarenta años de progreso, por sanchezcastejon</t>
  </si>
  <si>
    <t>https://pbs.twimg.com/media/Dtxkw0iX4AA7uvY.jpg</t>
  </si>
  <si>
    <t>nieves</t>
  </si>
  <si>
    <t>Sánchez se lleva la bronca del día | El Norte de Castilla</t>
  </si>
  <si>
    <t>La Coruña, Galicia</t>
  </si>
  <si>
    <t>Me gusta mi ciudad La Coruña. trabajo en la Xunta de Galicia, Conselleria de Cultura, Educacion e Ordenacion Universitaria, casada madre de dos hijas</t>
  </si>
  <si>
    <t>PER(E)IODISTA</t>
  </si>
  <si>
    <t>Comunitat Valenciana, Espanya</t>
  </si>
  <si>
    <t>periodista</t>
  </si>
  <si>
    <t>A</t>
  </si>
  <si>
    <t>Los que llaman oKupa a Pedro Sánchez celebrando los 40 años de Constitución Española #EstáPasando</t>
  </si>
  <si>
    <t>cuasi abogado</t>
  </si>
  <si>
    <t>La deriva política de este país está tan hacia la derecha que estoy leyendo cómo llaman bolivariano a Pedro Sánchez. A PEDRO SÁNCHEZ.</t>
  </si>
  <si>
    <t>Cantonta. Caballera de la mesa arcoíris. Dicen por ahí que tengo cara de bajista. ITG dancer - lvl 11 and progressing. [She/her]</t>
  </si>
  <si>
    <t>vivi martinez</t>
  </si>
  <si>
    <t>A este le da igual. Lo que quiere es ser presidente y lo es, lo demás le da igual todo. Cuanto más pueda quedarse mejor, ajnq tenga que encadenarse al sillon//</t>
  </si>
  <si>
    <t>http://puertasdoor-man.com</t>
  </si>
  <si>
    <t>Victor Botifler</t>
  </si>
  <si>
    <t>La democracia que busca Alberto Garzón, Pablo Iglesias, Pedro Sanchez y Quim Toigdemont. La que nos brindó Mariano Rajoy. Hasta dónde hemos llegado... RT @arturelpayaso2: Radicales independentistas, los amigos de Quim Torra y Puigdemont, agreden salvajemente a Álvaro de Marichalar, quien tuvo que huir para no ser linchado. Cataluña está en guerra, y quien no lo vea, que se lo haga mirar.</t>
  </si>
  <si>
    <t>Filántropo afincado en Reino Unido.</t>
  </si>
  <si>
    <t>El Harto</t>
  </si>
  <si>
    <t>Así que los gastos del despropósito del Boca - River lo pagamos los españoles. Exponemos a nuestra @policia a unos cabestros con una dieta mísera y encima, nos sale caro. Buen negocio hizo Pedro Sánchez... #MegaChiringuito</t>
  </si>
  <si>
    <t>Me dan el mismo asco los fascistas de un lado que los del otro. A ver, ¿en qué lado estás tú? // Pedicabo ego vos et irrumabo.</t>
  </si>
  <si>
    <t>Sotano Pub</t>
  </si>
  <si>
    <t>ganadores sabor canela !!mariana sanchez fede pedro alana leiva luciana zambrano !!</t>
  </si>
  <si>
    <t>Comodoro Rivadavia</t>
  </si>
  <si>
    <t>Amigos - Pool - Tragos - Bandas en vivo - Vídeos y Mas. Ahora tambien variedad en Pizzas! Abierto de Miercoles a Domingos a partir de las 21:00hs</t>
  </si>
  <si>
    <t>El Nuevo País y Zeta</t>
  </si>
  <si>
    <t>.@sanchezcastejon: “A los independentistas les da igual el modelo de Estado, quieren ir contra el ser de España”.</t>
  </si>
  <si>
    <t>https://goo.gl/WcCPmx</t>
  </si>
  <si>
    <t>https://pbs.twimg.com/media/DtxQJb0W0AUGfaP.jpg</t>
  </si>
  <si>
    <t>Caracas, Miami, Madrid</t>
  </si>
  <si>
    <t>Cuenta oficial: El Nuevo País y la revista ZETA 🇻🇪 🇪🇸 🇺🇸Ingresa a a http://www.elnuevopais.net y http://www.revistazeta.net. ¡Disponible 24/7!</t>
  </si>
  <si>
    <t>http://www.elnuevopais.net</t>
  </si>
  <si>
    <t>Ganadores sabor canela mariana sanchez fede pedro alana leiva luciana sambrano</t>
  </si>
  <si>
    <t>andre</t>
  </si>
  <si>
    <t>torra incita al odio y a la violencia,pablo iglesias a seguido su camino y tambien incita al odio y a la violencia,y pedro sanchez con su silencio los ampara y x culpa de estos energumenos la sociedad salimos perdiendo ,se actua con contundencia o el estado de derecho se rompera</t>
  </si>
  <si>
    <t>https://pbs.twimg.com/media/DtxbHocW4AEH3LG.jpg</t>
  </si>
  <si>
    <t>▪️No subirá el cemento. MIC aseguró a distribuidores que no habrá variación de precios e importarán producto. 📹Nota con Pedro Mancuello (vice ministro de Comercio) y Carolina Sánchez (distribuidora). #NoticieroCentral📺</t>
  </si>
  <si>
    <t>pic.twitter.com/VETzkgGLsl</t>
  </si>
  <si>
    <t>Vicente</t>
  </si>
  <si>
    <t>👏👏👏 "Fuera, fuera": pitos y abucheos a Pedro Sánchez a su llegada al Congreso para el acto del Día de la Constitución  vía @eldiarioes</t>
  </si>
  <si>
    <t>https://m.eldiario.es/_32458124</t>
  </si>
  <si>
    <t>Gáldar, Gran Canaria,España</t>
  </si>
  <si>
    <t>La felicidad depende del buen criterio.El buen criterio depende de la experiencia.Y la experiencia depende del mal criterio.</t>
  </si>
  <si>
    <t>Jota</t>
  </si>
  <si>
    <t>Día 6 después de vOx: - Pedro Sánchez quiere reformar la Constitución. - Pablo Iglesias de campaña por la republica.</t>
  </si>
  <si>
    <t>Fuera de Twitter soy más tieso que las sábanas del SAS.</t>
  </si>
  <si>
    <t>https://www.instagram.com/sevilladecadente</t>
  </si>
  <si>
    <t>Giambattista Araneo</t>
  </si>
  <si>
    <t>Música Cine Artistas internacionales Política y Gobierno Prensa Periodistas TV Periódicos Películas y premios de cine</t>
  </si>
  <si>
    <t>jose antonio gomez s</t>
  </si>
  <si>
    <t>Los CDR planean colapsar Cataluña para recibir a Pedro Sánchez y los ministros el 21-D.  Enviado desde @updayESP</t>
  </si>
  <si>
    <t>https://f7td5.app.goo.gl/Ksw3g</t>
  </si>
  <si>
    <t>Los Cuatro</t>
  </si>
  <si>
    <t>Hitos hasta la fecha del gobierno de @Pdro_Snchez. Apunta a: progresismo que pudo ser y no fue, gobierno de transición e intrascendental, no conseguiran ni sacar la momia.</t>
  </si>
  <si>
    <t>https://www.eldia.es/NACIONAL/2018-12-01/11-Seis-meses-Gobierno-Pedro-Sanchez-fechas.htm</t>
  </si>
  <si>
    <t>Se admiten sugerencias. Soy un bicho raro: borro tweets.</t>
  </si>
  <si>
    <t>Thais Delgado</t>
  </si>
  <si>
    <t>Administradora, venezolanísima, demócrata. Amante de la verdad y la justicia.</t>
  </si>
  <si>
    <t>Ana Garro Gómez</t>
  </si>
  <si>
    <t>TARRAGONA</t>
  </si>
  <si>
    <t>Jose L. Diez Ibañez</t>
  </si>
  <si>
    <t>C’s pacta con PSOE y Podemos librar a Sánchez de explicar su tesis ‘fake’ en la Asamblea de Madrid Los portavoces reginales de C's (Ignacio Aguado), Podemos (Clara Serra) y PSOE (Ángel Gabilondo) firmaron el pacto. Si el presidente del Gobierno, Pedro Sánchez, se librará</t>
  </si>
  <si>
    <t>Natural de Lugo, vive en Madrid</t>
  </si>
  <si>
    <t>Maria Luz Serra Garazo</t>
  </si>
  <si>
    <t>Han pasado 85 días… y la demanda de Sánchez sigue sin llegar</t>
  </si>
  <si>
    <t>https://okdiario.com/espana/2018/12/07/han-pasado-85-dias-demanda-pedro-sanchez-sigue-sin-llegar-3437752?utm_term=Autofeed&amp;utm_campaign=ok&amp;utm_medium=Social&amp;utm_source=Twitter#Echobox=1544139766</t>
  </si>
  <si>
    <t>«Pedro Sánchez, por su parte, ha fracasado al intentar prolongar un Gobierno sin fortalezas y al creer que podía hacerlo sin costes. Y el PSOE en general fracasa en su harakiri a cámara lenta». .@sanchezsactejon @PSOE @psoedeandalucia</t>
  </si>
  <si>
    <t>Froilán I de España</t>
  </si>
  <si>
    <t>A Pedro Sánchez le pasa con la Constitución lo mismo que con su tesis: que la escribieron otros y no se la ha leído.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</si>
  <si>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La mano dura de la monarquía. En el juego de tronos de España, sólo se puede ser Froilán o morir. Parodia. ¿no? froilancitorey@gmail.com</t>
  </si>
  <si>
    <t>https://eltronodefroilan.wordpress.com/</t>
  </si>
  <si>
    <t>Lilliana</t>
  </si>
  <si>
    <t>Sánchez plantea reformar la Constitución para incluir la igualdad de género</t>
  </si>
  <si>
    <t>http://dlvr.it/Qt1Sr0</t>
  </si>
  <si>
    <t>https://pbs.twimg.com/media/DtxUd_3UwAEPeit.jpg</t>
  </si>
  <si>
    <t>En el pulgarcito enorme, Selecta.</t>
  </si>
  <si>
    <t>Frankky Aledo</t>
  </si>
  <si>
    <t>Hasta cuando nos va seguir tratando Pedro Sánchez como gilipollas con el tezanos ese del CIS y con los amiguetes que ni celebran siquiera la Constitución</t>
  </si>
  <si>
    <t>Casi na, de Sevilla y del Sevilla,Ole</t>
  </si>
  <si>
    <t>sapabla</t>
  </si>
  <si>
    <t>Licenciado en Ciencias de la Información.Técnico administración local, experto en movimientos sociales, cultura populat, nueva ciudadania(inmigración).</t>
  </si>
  <si>
    <t>http://www.convivenciaysolidaridad.blogspot.com</t>
  </si>
  <si>
    <t>Con ustedes los amigos de los que nos gobiernan en Valencia , destrozando las libertades y el orden en la Comunidad Autonoma de Cataluña. Estos son los verdaderos "fascistas" , consentidos por las autoridades y con el beneplácito de Pedro Sanchez que pacta con sus líderes.</t>
  </si>
  <si>
    <t>https://pbs.twimg.com/media/DtxTxjvWsAEISUw.jpg</t>
  </si>
  <si>
    <t>"¡A mí no me echas de la foto, que no soy tu suegra!": así explicó el 'Pedro Sánchez de @enjutomojamuto' su 'rifirrafe' con la reina Letizia en @El_Intermedio</t>
  </si>
  <si>
    <t>http://atres.red/c4av84</t>
  </si>
  <si>
    <t>ABRIGO</t>
  </si>
  <si>
    <t>Abrigo Soluciones Jurídicas, despacho fundado en 2004, en su esfuerzo continuo de superación e innovación, ofrece un servicio jurídico integral a sus clientes.</t>
  </si>
  <si>
    <t>http://www.abrigo.biz</t>
  </si>
  <si>
    <t>Monseigneur</t>
  </si>
  <si>
    <t>Estoy seguro de que Pedro Sánchez es uno de los últimos en abandonar el grupo de WhatsApp de presidentes del G20 (doy por hecho que este grupo existe)</t>
  </si>
  <si>
    <t>Torero freelance.</t>
  </si>
  <si>
    <t>Vara amenaza a Pedro Sánchez con irse del PSOE si pacta con los nacionalistas | España Home | EL MUNDO</t>
  </si>
  <si>
    <t>Graciela Rodríguez</t>
  </si>
  <si>
    <t>Madrid     (Abril 2015)</t>
  </si>
  <si>
    <t>Militante socialista. Con la fuerza de la militancia, la lealtad a nuestro SG y a nuestro Proyecto #PorUnaNuevaSocialdemocracia #SomosLaIzquierda</t>
  </si>
  <si>
    <t>Matis</t>
  </si>
  <si>
    <t>AutoZASCA de PEDRO SÁNCHEZ con las elecciones de Andalucía  vía @YouTube</t>
  </si>
  <si>
    <t>https://youtu.be/OWL1NAkKNwk</t>
  </si>
  <si>
    <t>Iñaki</t>
  </si>
  <si>
    <t>Recuerden. La bazofia catalana. El entrante lo puso zp. El primer plato cocinado por Rajoy. El segundo por Pedro Sánchez...</t>
  </si>
  <si>
    <t>Amante de la Historia no manipulada. Buscando trabajo en lo que domino: organización, catalogación informática y digitalización de fondos documentales</t>
  </si>
  <si>
    <t>Beatriz Becerra</t>
  </si>
  <si>
    <t>Y el otro Pedro Sánchez qué dice? #EleccionesYa</t>
  </si>
  <si>
    <t>Vicepresidenta Subcomisión DDHH del Parlamento Europeo / Eurodiputada @ALDEgroup #YourRightsOurFight / Por la igualdad efectiva y contra el nacionalismo</t>
  </si>
  <si>
    <t>http://www.beatrizbecerra.eu</t>
  </si>
  <si>
    <t>antonio g.c</t>
  </si>
  <si>
    <t>https://youtu.be/gv_jRz3b6uQ</t>
  </si>
  <si>
    <t>https://newsurtv.blogspot.com.es/</t>
  </si>
  <si>
    <t>http://anguca7.blogspot.com.es/</t>
  </si>
  <si>
    <t>infomalaga.com</t>
  </si>
  <si>
    <t>El alcalde de Campillos pide una reunión con Pedro Sánchez para estudiar las ayudas</t>
  </si>
  <si>
    <t>🕣Noticias e Información de última hora de #Malaga.🆕🆕🔝🔝🇪🇸</t>
  </si>
  <si>
    <t>http://www.infomalaga.com</t>
  </si>
  <si>
    <t>Talavera de la Reina, España</t>
  </si>
  <si>
    <t>🗞 El fracaso es todo suyo, señor Sánchez “Pedro Sánchez ha persistido en una pésima interpretación de la moción de censura que le llevó a la presidencia del Gobierno.” ”En Andalucía, el racional electoral ha sido nacional y no autonómico.”</t>
  </si>
  <si>
    <t>https://blogs.elconfidencial.com/espana/notebook/2018-12-04/elecciones-andalucia-fracaso-sanchez_1683858/</t>
  </si>
  <si>
    <t>A la basura okupa de la recibé así.</t>
  </si>
  <si>
    <t>Pedro Sánchez celebra la detención de García Juliá, uno de los autores de la matanza de Atocha: "La democracia y la justicia siempre vencen a sus enemigos"</t>
  </si>
  <si>
    <t>http://ww.cope.es/unnth1</t>
  </si>
  <si>
    <t>Gritos de "¡fuera, fuera!" y abucheos en la llegada de Pedro Sánchez al acto por el 40 aniversario de la Constitución</t>
  </si>
  <si>
    <t>http://atres.red/ktjbw3</t>
  </si>
  <si>
    <t>Seguimos con la dictadura Pedro Sánchez, todo por DECRETO. Nada por acuerdo.</t>
  </si>
  <si>
    <t>LCR</t>
  </si>
  <si>
    <t>que Pedro sanchez gobierne fruto de una mocion constitucional de censura es un okupa es ilegal"'segun pp y C,s pero q ellos sin ganar las elecciones se reconozxan con derechona presidir la Junta es un DERECHO DEMOCRATICO"".ningun jorobado se ve su chepa"".....</t>
  </si>
  <si>
    <t>Jurista y Justo creo en la JUSTICIA LIBRE Y DEMOCRATICA soy ANTIFASCISTA PORQ SOY ESPAÑOL Y DEMOCRATA ❤💛💜al fascismo se le combate y se le derrota .</t>
  </si>
  <si>
    <t>Dani</t>
  </si>
  <si>
    <t>¿Que película aún por salir te mueres de ganas de ver? — el biopic erótico de Pedro Sánchez</t>
  </si>
  <si>
    <t>https://curiouscat.me/Dhei/post/726091059?t=1544137605</t>
  </si>
  <si>
    <t>ª, Nigeria</t>
  </si>
  <si>
    <t>70% of my body is made of memes.</t>
  </si>
  <si>
    <t>http://curiouscat.me/Dhei</t>
  </si>
  <si>
    <t>🌹Pedro Sánchez, P.G., quiere reformar la Constitución para incluir la igualdad entre hombres y mujeres. “Es el tiempo de las mujeres. Todos lo fueron, pero hoy la sociedad empieza a asumir como propias las reivindicaciones feministas”.  vía @eldiarioes</t>
  </si>
  <si>
    <t>Pedro Sánchez habla de la igualdad de las mujeres, y no hay formar de poner a trabajar a la suya.</t>
  </si>
  <si>
    <t>Pedro Sánchez debería entrar en Guantánamo...</t>
  </si>
  <si>
    <t>Fc.Javier Fdez-Bravo</t>
  </si>
  <si>
    <t>Este es uno de los mejores ejemplos del filibusterismo político del Presente de Gobierno (utiliza otros seudónimos: "Pedro Sánchez", "Sec.Gral del @PSOE ", "el marido de Begoña") Cambiar todo para que todo siga igual. PERO SI ESO YA SE HIZO HACE 40 AÑOS!!! No se entera este chico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</si>
  <si>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Ciudad Real</t>
  </si>
  <si>
    <t>Abogado. Luchador incansable.Enamorado de mi tierra y sobre todo de Mara y Javier.Portavoz Provincial​ y Concejal​ de Cs en el Ayto. de Ciudad Real.</t>
  </si>
  <si>
    <t>Sánchez ve "más probable" el "consorcio de derechas" que la repetición de elecciones en Andalucía</t>
  </si>
  <si>
    <t>http://ver.20m.es/_jw_w3</t>
  </si>
  <si>
    <t>Javis</t>
  </si>
  <si>
    <t>He oído decir en televisión que Pedro Sanchez no convocará elecciones en Marzo. Que en esas fechas estarán trabajando. Mátame camión!!</t>
  </si>
  <si>
    <t>Hay que ser elegante hasta en los silencios.</t>
  </si>
  <si>
    <t>Dani Llanos</t>
  </si>
  <si>
    <t>No hay que olvidar que Pedro Sánchez, el #Okupa, gobierna gracias a los que jalean y azuzan a estos delincuentes. RT @Societatcc: Más imágenes del asalto de los radicales de los #CDR al acto en #Girona para conmemorar los #40AñosDeConstitución. A nosotros nos gusta la democracia y la libertad. ¡Toda nuestra condena!</t>
  </si>
  <si>
    <t>https://twitter.com/societatcc/status/1070621999649746944</t>
  </si>
  <si>
    <t>pic.twitter.com/aM89M3fAsD</t>
  </si>
  <si>
    <t>Salmantino con sangre gallega y espíritu americano. Concejal de Juventud y Obras en @aytoSalamanca, pero esta cuenta es personal.</t>
  </si>
  <si>
    <t>http://Instagram.com/dllanosg</t>
  </si>
  <si>
    <t>elcondedelaisla</t>
  </si>
  <si>
    <t>Lo del coche, el caballo, y la cabra, se puede entender, son cosas que ocurren. Pero lo de este Pedro Sánchez, debería de estudiarse en la universidad, y que una cosa así se llame…</t>
  </si>
  <si>
    <t>https://www.instagram.com/p/BrECk4rgb49/?utm_source=ig_twitter_share&amp;igshid=bmszu9m5br9f</t>
  </si>
  <si>
    <t>JJcorocotta</t>
  </si>
  <si>
    <t>Begoña Gómez, mujer del Presidente Pedro Sánchez: 6․000 euros de nómina mensual de una empresa en la que no trabaja  vía @Periodistadigit</t>
  </si>
  <si>
    <t>Cantabria, España</t>
  </si>
  <si>
    <t>Con las ideas claras, no soy de rebaños, prefiero decidir por mí mismo, oír, ver, tocar, probar y oler para eso tenemos los sentidos, no para que nos lo cuenten</t>
  </si>
  <si>
    <t>Ojalá y lo metan preso a él y a Pedro Sánchez : Son la escoria de éste país .Ratas mugrientas asquerosa cucarachas arrastradas ojalá y no vea la luz del día . Porque todo lo qué hay firmado por toda España es inducida por Pablo Yglesias y Pedro Sánchez destituccion para los dos. RT @BenemeritosGC: Piden la detención de Pablo Iglesias por ser el promotor de las violentas manifestaciones contra VOX en Andalucía</t>
  </si>
  <si>
    <t>https://twitter.com/BenemeritosGC/status/1070715791329427462
https://www.elmatinal.com/actualidad/piden-la-detencion-de-pablo-iglesias-por-ser-el-promotor-de-las-violentas-manifestaciones-contra-vox-en-andalucia/</t>
  </si>
  <si>
    <t>elJulius</t>
  </si>
  <si>
    <t>http://dlvr.it/Qt1Jv6</t>
  </si>
  <si>
    <t>https://pbs.twimg.com/media/DtxImXJVYAAMLkY.jpg</t>
  </si>
  <si>
    <t>Algún lugar de tu luna</t>
  </si>
  <si>
    <t>Sinceramente tuyo, simplemente Julius</t>
  </si>
  <si>
    <t>V.A. Marcos</t>
  </si>
  <si>
    <t>La Constitución cumple 40 años con una pitada a Sánchez, la ovación a los reyes eméritos y la defensa de Felipe VI</t>
  </si>
  <si>
    <t>https://www.eleconomista.es/politica/noticias/9566705/12/18/Gran-pitada-a-Pedro-Sanchez-a-las-puertas-del-Congreso-en-el-aniversario-de-la-Constitucion.html</t>
  </si>
  <si>
    <t>Leganés</t>
  </si>
  <si>
    <t>Consejería de Educación. DAT SUR. Madrid . Licenciado en Derecho y maestro. El placer más noble es el júbilo de comprender ( Leonardo da Vinci )</t>
  </si>
  <si>
    <t>EFGLCh</t>
  </si>
  <si>
    <t>Este muchacho está claro que no se ha leído la Constitución, hay Pedro Pedro Sánchez desconoce la Constitución: pide reformarla para incluir la igualdad entre hombres y mujeres - Libertad Digital</t>
  </si>
  <si>
    <t>Vive y deja vivir,</t>
  </si>
  <si>
    <t>pere sola gussinyer</t>
  </si>
  <si>
    <t>NO ME PUEDO CREER QUE ESTE DIGITAL NO INCLUYA EN PORTADA LAS CARGAS POLICIALES CONTRA LOS ANTIFASCISTAS HOY EN CATALUÑA!!! Pedro Sánchez quiere reformar la Constitución para incluir la igualdad entre hombres y mujeres  via @eldiarioes</t>
  </si>
  <si>
    <t>Sapere aude TDH no diagnosticat.</t>
  </si>
  <si>
    <t>jmrodriguez</t>
  </si>
  <si>
    <t>Abuchean a Pedro Sánchez a su llegada al Congreso por el 40 aniversario de la Constitució. El público también al expresidente José Luis Rodríguez Zapatero y al ministro de Justicia Grande-Marlaska, con gritos de "fuera, fuera" LOS FRANQUISTAS 🤯DE SIEMPRE</t>
  </si>
  <si>
    <t>https://www.msn.com/es-es/noticias/internacional/abuchean-a-pedro-sánchez-a-su-llegada-al-congreso-por-el-40-aniversario-de-la-constitución/ar-BBQzFAI?ocid=spartandhp</t>
  </si>
  <si>
    <t>https://pbs.twimg.com/media/DtxFp1dX4AYJxWT.jpg</t>
  </si>
  <si>
    <t>Martina</t>
  </si>
  <si>
    <t>Me gusta lo difícil, me atrae lo complicado y me enamoro de lo imposible...</t>
  </si>
  <si>
    <t>Carla Chiguire</t>
  </si>
  <si>
    <t xml:space="preserve">             Venezuela.</t>
  </si>
  <si>
    <t>Noticias, Pro-Vida, Tecnología,y Anticomunista.</t>
  </si>
  <si>
    <t>Otegi congrega a miles de personas en Bilbao en una manifestación a favor de una República Vasca. Otegi y los suyos son los constitucionalistas para Pedro Sánchez y sus Ministras</t>
  </si>
  <si>
    <t>https://okdiario-com.cdn.ampproject.org/v/s/okdiario.com/espana/2018/12/06/otegi-congrega-miles-personas-bilbao-manifestacion-favor-republica-vasca-3435809/amp?amp_js_v=a2&amp;amp_gsa=1#referrer=https%3A%2F%2Fwww.google.com&amp;amp_tf=De%20%251%24s&amp;ampshare=https%3A%2F%2Fokdiario.com%2Fespana%2F2018%2F12%2F06%2Fotegi-congrega-miles-personas-bilbao-manifestacion-favor-republica-vasca-3435809</t>
  </si>
  <si>
    <t>MLZ</t>
  </si>
  <si>
    <t>Que vergüenza de ser. Por piedad, libèranos</t>
  </si>
  <si>
    <t>Solo intento ser buena gente, aunque a veces no lo consiga.</t>
  </si>
  <si>
    <t>https://pbs.twimg.com/media/DtwqPSFWkAAZdSp.jpg</t>
  </si>
  <si>
    <t>INFH NDPNTSM 061218233025 Pedro Sánchez aleja la posibilidad de elecciones en marzo</t>
  </si>
  <si>
    <t>https://www.mundiario.com/articulo/politica/pedro-sanchez-aleja-posibilidad-elecciones-marzo/20181206230653140008.html</t>
  </si>
  <si>
    <t>pic.twitter.com/HM7spMfvmA</t>
  </si>
  <si>
    <t>Pedro Sánchez celebra la detención del "ultra" García Juliá: "la Democracia y la Justicia siempre vencen a sus enemigos"</t>
  </si>
  <si>
    <t>https://ift.tt/2Ei52o2</t>
  </si>
  <si>
    <t>EL DOCTOR CORTA Y PEGA</t>
  </si>
  <si>
    <t>Málaga, Andalucía</t>
  </si>
  <si>
    <t>Guillermo Garabito</t>
  </si>
  <si>
    <t>Pedro Sánchez siempre un paso por detrás, o 40 años. Cualquier día nos vende que él inventó la democracia. Art 14 de la Constitución: “Los españoles son iguales ante la ley, sin que pueda prevalecer discriminación alguna por razón de nacimiento, raza, sexo, religión, opinión...”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</si>
  <si>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Columnista. En ABC CyL con La sombra de mis pasos y en Onda Cero con Al fondo hay sitio. Presidente @fundacionggg</t>
  </si>
  <si>
    <t>El presidente del Gobierno ya plasmó días atrás la opción de actualizar la Carta Magna para eliminar la inviolabilidad del Rey</t>
  </si>
  <si>
    <t>https://www.lavanguardia.com/politica/20181206/453401347493/pedro-sanchez-constitucion-reformar-igualdad-de-genero.html?utm_source=twitter_lv&amp;utm_medium=social</t>
  </si>
  <si>
    <t>Esköl</t>
  </si>
  <si>
    <t>Si nadie a votado al rey, que en Cataluña gobierne ciudadanos que para eso tuvo el mayor número de votantes y que Pedro Sanchez sea destituido por su golpe de estado.</t>
  </si>
  <si>
    <t>Asgard</t>
  </si>
  <si>
    <t>Yo he visto entregarle a mi equipo el trofeo al mejor club del siglo XX y al Barça perpetrar los 2 mayores atracos de la historia. #HalaMadrid #Tabarnia</t>
  </si>
  <si>
    <t>A Pedro Sánchez nadie. Al rey le votamos por mayoría absoluta hace 40 años. Estos es que dicen muchas tonterías... RT @numer344: Dicen que nadie ha votado al Rey. Me gustaría saber quien ha votado a Pedro Sánchez.</t>
  </si>
  <si>
    <t>Pedro Sanchez quiere reformar la Constitución Solo para darle la Indipendencia al Pais Vasco Galicia y Cataluña increible però sierto RT @libertaddigital: Pedro Sánchez desconoce la Constitución: pide reformarla para incluir la igualdad entre hombres y mujeres</t>
  </si>
  <si>
    <t>"¡A mí no me echas de la foto, que no soy tu suegra!": así explicó el 'Pedro Sánchez de @enjutomojamuto' su 'rifirrafe' con la reina Letizia #elintermdio</t>
  </si>
  <si>
    <t>http://atres.red/c4av82</t>
  </si>
  <si>
    <t>Jose Luis Rodriguez</t>
  </si>
  <si>
    <t>Claro habrá elecciones de septiembre a primeros de diciembre. Los “listos” tertulianos dejad de haceros pajes mentales, por favor</t>
  </si>
  <si>
    <t>https://www.lasexta.com/noticias/nacional/pedro-sanchez-rechaza-convocar-elecciones-en-marzo-e-insinua-que-tampoco-las-habra-en-mayo-video_201812065c09438c0cf26a2d5573f4c3.html</t>
  </si>
  <si>
    <t>exJefe servicio H Fuenlabrada Residente Gastroenterologia en New Jersey College of Medicine, Newark, NJ Ha estudiado Fellowship en McGill University</t>
  </si>
  <si>
    <t>jose l serrano</t>
  </si>
  <si>
    <t>Pedro Sánchez: Un impulso constitucional para el cambio de época. TIRANO</t>
  </si>
  <si>
    <t>https://www.abc.es/espana/abci-pedro-sanchez-impulso-constitucional-para-cambio-epoca-201812060240_noticia.html</t>
  </si>
  <si>
    <t>Ibiza Baleares ESPAÑA</t>
  </si>
  <si>
    <t>Español, democrata convencido, defensor de la Constitución y afiliado a VOX</t>
  </si>
  <si>
    <t>SinTrincheras</t>
  </si>
  <si>
    <t>Pedro Sánchez quiere reformar la Constitución para incluir la igualdad entre hombres y…</t>
  </si>
  <si>
    <t>https://www.instagram.com/p/BrD_CawgJrL/?utm_source=ig_twitter_share&amp;igshid=1ak950a8m8jpu</t>
  </si>
  <si>
    <t>@sinTrincheras quiere ser un punto de encuentro para narrar la actualidad política desde diferentes visiones</t>
  </si>
  <si>
    <t>https://www.facebook.com/sinTrincheras/</t>
  </si>
  <si>
    <t>Gabriel Arias</t>
  </si>
  <si>
    <t>Una pregunta, ¿los que dicen que Pedro Sánchez no tiene legitimidad porque no fue votado, son los mismos que dirán que el próximo president(e) de Andalucía no tiene legitimidad porque no fue votado?</t>
  </si>
  <si>
    <t>Madrid. Pero de Priego, Cuenca</t>
  </si>
  <si>
    <t>Periodista. A los 12 años coordinaba una sección en el periódico de mi pueblo. Luego infoLibre y FormulaTV. Estudiante del máster de Análisis Político (UCM).</t>
  </si>
  <si>
    <t>http://www.lascuatroesquinaspriego.com</t>
  </si>
  <si>
    <t>éxito del PSOE del Pedroflautas Sánchez en resultado del CIS de Tezano. Hoy se han refrendado en el recibimiento al inútil Zapatero y al chavista Pedroflautas Sánchez.</t>
  </si>
  <si>
    <t>@cgc787</t>
  </si>
  <si>
    <t>Entrevista |70 años de España, soy secesionista Pedro Sánchez: “A los independentistas les da igual el modelo de Estado, quieren ir contra el ser de España”  vía @elpais_espana</t>
  </si>
  <si>
    <t>catalá secesionista</t>
  </si>
  <si>
    <t>Dicen que nadie ha votado al Rey. Me gustaría saber quien ha votado a Pedro Sánchez.</t>
  </si>
  <si>
    <t>Los ciudadanos "votan" frente al Congreso y sentencian con estruendosos abucheos a Sánchez. Mientras, aplausos para Felipe, Aznar y Rajoy. 😉 El verdadero CIS de Sánchez no es el de Tezanos, militante del @PSOE #EleccionesGeneralesYa #40AñosdeConstitución</t>
  </si>
  <si>
    <t>Manuel Rocamora</t>
  </si>
  <si>
    <t>Elecviones ya.El verdadero CIS de Pedro Sánchez: otro espectacular abucheo en el Congreso  vía @ESdiario_com</t>
  </si>
  <si>
    <t>Embla</t>
  </si>
  <si>
    <t>"Pedro Sánchez desconoce la Constitución: pide reformarla para incluir la igualdad entre hombres y mujeres" @sanchezcastejon mira el art.14 de la Carta Magna... #EleccionesGeneralesYa #VikingosTeam</t>
  </si>
  <si>
    <t>Emprendedor. Mis palabras persiguen la justicia</t>
  </si>
  <si>
    <t>javier de la muela s</t>
  </si>
  <si>
    <t>🇪🇸 Española con muchísimo orgullo. 🇪🇸</t>
  </si>
  <si>
    <t>benidorm</t>
  </si>
  <si>
    <t>nativo de benidorm,empresario sector de mueble y colchoneria,casado 3 hijos</t>
  </si>
  <si>
    <t>http://www.benicolchon.com</t>
  </si>
  <si>
    <t>PARTIDO SOLIDARIDAD</t>
  </si>
  <si>
    <t>Sánchez, abucheado durante varios minutos a la entrada del Congreso: "¡Convoca elecciones!"- Libertad Digital | Versión Móvil (mobile)</t>
  </si>
  <si>
    <t>La situación en España es cada vez más grave. Recomendamos que os unáis a VOX. Y que ayudéis a Venezuela, Nicaragua y Cuba a salir de la dictadura comunista</t>
  </si>
  <si>
    <t>José Viruez Arce🎗</t>
  </si>
  <si>
    <t>Sánchez, Casado y Rivera se preparan para una batalla por el centro en el nuevo ciclo electoral  vía @eldiarioes</t>
  </si>
  <si>
    <t>Barcelona, Sgda. Famíia.</t>
  </si>
  <si>
    <t>Resistente de #LaCafetera de @radiocable y @mariapuntoes - Haciendo cosas! 👀 Casi siempre en el bosque de Sherwood https://elobservatoryo.tumblr.com/</t>
  </si>
  <si>
    <t>Eugénie 55</t>
  </si>
  <si>
    <t>No importa. Todo para que Pedro Sánchez , pase más tiempo en Moncloa 😱🙈 RT @Gata1_C: Esto es Tarrassa ahora. La extrema izquierda a sus anchas. Hay heridos. @Pablo_Iglesias_ , tendrás que rendir cuentas!! @sanchezcastejon, podrá dormir?? El impresentable de Quim Torra, y todo su gobierno entre rejas Urge tomar medidas!!!!!</t>
  </si>
  <si>
    <t>El Loko de Pitres</t>
  </si>
  <si>
    <t>El #Okupa ⁦@sanchezcastejon⁩ descarta elecciones en marzo pero abre la puerta a mayo. A ver si es verdad!! #EleccionesYA</t>
  </si>
  <si>
    <t xml:space="preserve">Sobre el oscuro abismo </t>
  </si>
  <si>
    <t>"El #Socialismo no procede del pueblo. Es una doctrina de "intelectuales" que tuvieron la arrogancia de creer que podrían planificar mejor la vida de todos"</t>
  </si>
  <si>
    <t>Nuevo Curso</t>
  </si>
  <si>
    <t>Estamos ante las primeras señales de colapso del aparato político de la burguesía española. Lo que está muy lejos de significar un colapso de su dominio. La pequeña burguesía es un palo en la rueda, no su antagonista</t>
  </si>
  <si>
    <t>http://bit.ly/2AZ7dJn</t>
  </si>
  <si>
    <t>🌍</t>
  </si>
  <si>
    <t>Leenos en https://nuevocurso.org y https://t.me/nuevocurso Síguenos también, por lo que pudiera ocurrir, en @MarxQNunca</t>
  </si>
  <si>
    <t>https://nuevocurso.org</t>
  </si>
  <si>
    <t>ciudadano social</t>
  </si>
  <si>
    <t>Un ciudadano que al igual que la mayoría de este país quiere un cambio de políticas, que defiendan más a los ciudadanos de este maltrecho pais.</t>
  </si>
  <si>
    <t>https://shop.spreadshirt.es/camioriginal</t>
  </si>
  <si>
    <t>Ana Baena</t>
  </si>
  <si>
    <t>Fuenlabrada</t>
  </si>
  <si>
    <t>Antonio Parra </t>
  </si>
  <si>
    <t>Este periódico.... Sánchez, Casado y Rivera se preparan para una batalla por el centro en el nuevo ciclo electoral  vía @eldiarioes</t>
  </si>
  <si>
    <t xml:space="preserve">Mundo </t>
  </si>
  <si>
    <t>Con esperanzas de recuperar lo perdido</t>
  </si>
  <si>
    <t>El paro vuelve a subir con Pedro Sánchez en el poder: Aumenta en 52.195 personas</t>
  </si>
  <si>
    <t>https://casoaislado.com/sanchez-sigue-hundiendo-la-economia-paro-sube-52-195-personas/</t>
  </si>
  <si>
    <t>eguia-uriamarialuisa</t>
  </si>
  <si>
    <t>El oculto motivo por el que Pedro Sánchez y su mujer han conseguido un chollazo de hipoteca</t>
  </si>
  <si>
    <t>http://www.periodistadigital.com/politica/gobierno/2018/11/09/el-oculto-motivo-por-el-que-pedro-sanchez-y-su-mujer-han-conseguido-un-chollazo-de-hipoteca.shtml</t>
  </si>
  <si>
    <t>New York</t>
  </si>
  <si>
    <t>Eguia-Uria-Maria-Luisa-PhDLes interactions entre la mauvaise transmission de l'euskara et les changes psychosociologiques chez la femmeBasque</t>
  </si>
  <si>
    <t>manolo carrillo</t>
  </si>
  <si>
    <t>Según la prensa en general, los que abuchean al Presidente Pedro Sánchez, son público en general, patriotas que quieren salvar España. Los que abuchean an Rivera o Casado, son fascistas antisistemas que quieren acabar con España.. Así todo.</t>
  </si>
  <si>
    <t>Redován, España</t>
  </si>
  <si>
    <t>Compañero. Padre. Luchando por lo que nos han quitado. Cansado de los salvapatrias. Socialista. Del PSOE.</t>
  </si>
  <si>
    <t>Eddy Smith</t>
  </si>
  <si>
    <t>Pedro Sánchez descarta elecciones en marzo pero abre la puerta a mayo- Libertad Digital | Versión Móvil (mobile)</t>
  </si>
  <si>
    <t>Opiniones liberales de un aficionado apasionado de la política, la economia, el cine y amante de la libertad del individuo, la justicia y la democracia.</t>
  </si>
  <si>
    <t>Lluís X. Romero</t>
  </si>
  <si>
    <t>Mi primer retuit a PS (Ojo, PS es Pedro Sánchez, no Paquita Salas, que si tuviese Twitter vamos, me muero), en fin, en qué quedamos, ultra o fascista? TE MOJAS PEDRO O KE? RT @sanchezcastejon: Hoy hemos conocido la detención en Brasil del ultra Carlos García Juliá, uno de los autores de la matanza de Atocha. El fascismo quiso poner de rodillas a la Democracia. Pero la Democracia y la Justicia siempre vencen a sus enemigos.</t>
  </si>
  <si>
    <t>Entre virtudes y vicios</t>
  </si>
  <si>
    <t>Comunicación y escritura, indignación y poesía.</t>
  </si>
  <si>
    <t>José Luis Portela</t>
  </si>
  <si>
    <t>Gabriel cisneros, Miguel Herrero de Miñón, jose pedro perez-llorca, Gregorio peces barba, Jordi Solé, Manuel Fraga y Miguel Roca VERSUS Pedro Sánchez, Casado, Albert Rivera, Pablo Iglesias, Gabriel Rufián, Santiago Abascal, Joaquim Torra No digo mas... #ConstitucionEspanola</t>
  </si>
  <si>
    <t>Director Prog. Dirección Estratégica Proyectos IE Business School. Socio MAGTALENT. Profesor asociado Financial Times / IE. Interim Management Outplacement</t>
  </si>
  <si>
    <t>http://www.joseluisportela.com</t>
  </si>
  <si>
    <t>Francisco 🇪🇸🤙</t>
  </si>
  <si>
    <t>Para Pedro Sanchez y sus palmeros.</t>
  </si>
  <si>
    <t>pic.twitter.com/83wxj6RFG4</t>
  </si>
  <si>
    <t>Torremolinos Malaga</t>
  </si>
  <si>
    <t>Instalaciones Electricas BT-MT-ICT-Tematicas de Terror-Sonido Profesional-Certificación, Aperturas, Proyectos-Domotica-Ahorro Energetico⚽️Culé 🔵🔴</t>
  </si>
  <si>
    <t>http://www.torrelec.es</t>
  </si>
  <si>
    <t>Arcipreste de Hita</t>
  </si>
  <si>
    <t>¿Alguien duda que el Sr Sánchez ✈️ ¿Doctor?, no se haya leído el art. 14.1 de la Constitución 🇪🇸?. Para proponer una reforma, ¿no habrá q conocerla antes? P.S. desconoce la Constitución: pide reformarla para incluir la igualdad entre hombres y mujeres- LD</t>
  </si>
  <si>
    <t>El verdadero #CIS de ⁦@sanchezcastejon⁩ otro monumental abucheo en el congreso.</t>
  </si>
  <si>
    <t>Juanes #FreePalestine</t>
  </si>
  <si>
    <t>¿Qué 💩 se fuma Pedro Sánchez?</t>
  </si>
  <si>
    <t>🏛 Historia y Socialismo 📚 | En: @Geografoblog | Focus on MENA 🇮🇶🇱🇧🇵🇸🇸🇾 #SaveYemen</t>
  </si>
  <si>
    <t>http://instagram.com/JuanesIG_</t>
  </si>
  <si>
    <t>Unidad Nacional Esp</t>
  </si>
  <si>
    <t>Vídeo: Pedro Sánchez es recibido entre pitos y abucheos en el Congreso de los Diputados</t>
  </si>
  <si>
    <t>Es un deber y un derecho de todos los españoles, defender la Unidad de España.</t>
  </si>
  <si>
    <t>https://www.facebook.com/pages/Unidad-Nacional-Espa%C3%B1ola/486217364760580?ref=stream</t>
  </si>
  <si>
    <t>Petición para ilegalizar Podemos. ¡Hala! Ya estáis tardando en firmar y pasar.😉💪🏽🇪🇸 Pedro Sánchez Castejón: Ilegalizar UPodemos - ¡Firma la petición!  vía @change_es</t>
  </si>
  <si>
    <t>http://chng.it/w6JSMvJg</t>
  </si>
  <si>
    <t>Perdona, soy artista</t>
  </si>
  <si>
    <t>Madre de dos hijas, fiscal, escribo en mis ratos libres, viva la danza, fallera desde siempre http://conmitogaymistacones.com</t>
  </si>
  <si>
    <t>https://www.amazon.es/gp/aw/d/1986069257/ref=mp_s_a_1_1?__mk_es_ES=%C3%85M%C3%85Z%C3%95%C3%91&amp;qid=15</t>
  </si>
  <si>
    <t>📺 VÍDEO | Pedro Sánchez, recibido con abucheos a su llegada al Congreso para el acto del Día de la Constitución</t>
  </si>
  <si>
    <t>https://pbs.twimg.com/media/DtwrB6yX4AAiixp.jpg</t>
  </si>
  <si>
    <t>El míserable dé Pedro Sánchez ésto es lo qué pretende hacer con España , como él y sus hijas están sobregirada das pues le importa una puñetera mierda dé los demás Pedro Sánchez, no pienses que tú té escaparían y los tuyos dé una guerrera civil , ni aunque sea mandada por tí JUDÁ RT @TorresAren: EN #20AñosVictoriaPopular SOCIALISTA Este es el desespero d los VENEZOLANOS en Trujillo por comprar un kilo d azúcar PORQUE el régimen no les vende más cantidad POR ESTA razón es q más d 3 MILLONES d vzlanos huyen De su tierra #7Dic #8Dic #BuenViernes</t>
  </si>
  <si>
    <t>https://twitter.com/TorresAren/status/1070633486531342336</t>
  </si>
  <si>
    <t>pic.twitter.com/MfYl7CXC7E</t>
  </si>
  <si>
    <t>A mi me ha dejado la postura de Rivera ''ojiplatica'', creo que quiere emular a Pedro Sánchez, que con 21 diputado, siendo el tercero de cinco partidos, por su cara bonita se tienen que alterar lo que haga falta, para que gobierne Marin. ¡¡Que verguenza!! #sindignidad RT @rosadiezglez: Dice Rivera - que lleva tres años y medio apoyando a Susana Díaz/PSOE en Andalucía- que "el cambio" son ellos. Otro que piensa -como los nacionalistas- que ellos han nacido de la pata de Aitor... En fin.</t>
  </si>
  <si>
    <t>https://twitter.com/rosadiezglez/status/1070374893383020544
http://ow.ly/vEKu30mSuh3</t>
  </si>
  <si>
    <t>Jesus Ferrer</t>
  </si>
  <si>
    <t>Amante de la vida, de la familia y de los buenos amigos</t>
  </si>
  <si>
    <t>http://jesusferrer7.wordpress.com</t>
  </si>
  <si>
    <t>Así imití @enjutomojamuto a Pedro Sánchez al ritmo de 'Me duele la cara de ser tan guapo' en @El_Intermedio: "Soy presidente de España y Míster Tetuán 1996" #elintermedio</t>
  </si>
  <si>
    <t>http://atres.red/ihgvd17</t>
  </si>
  <si>
    <t>Felisuco</t>
  </si>
  <si>
    <t>No de izquierdas ni de derechas Anti parásitos 🤔👊</t>
  </si>
  <si>
    <t>Cuando @enjutomojamuto imitó a Pedro Sánchez al ritmo de 'Me duele la cara de ser tan guapo': "Soy presidente de España y Míster Tetuán 1996" #elintermedio</t>
  </si>
  <si>
    <t>http://atres.red/ihgvd16</t>
  </si>
  <si>
    <t>Víctor G. Martín</t>
  </si>
  <si>
    <t>Pedro Sánchez quiere reformar la Constitución para incluir la igualdad entre hombres y mujeres  vía: @eldiarioes</t>
  </si>
  <si>
    <t>https://www.eldiario.es/politica/Pedro-Sanchez-reforma-Constitucion-igualdad_0_843416144.html?utm_source=dlvr.it&amp;utm_medium=twitter</t>
  </si>
  <si>
    <t>https://pbs.twimg.com/media/Dtw6affU4AA4n5V.jpg</t>
  </si>
  <si>
    <t>Noticia es todo lo que alguien, en algún lugar, quiere que no se sepa. Todo lo demás es publicidad.</t>
  </si>
  <si>
    <t>https://adaequatiomentisadmentus.wordpress.com/</t>
  </si>
  <si>
    <t>Sánchez quiere reformar la Constitución para blindar la igualdad entre hombres y mujeres</t>
  </si>
  <si>
    <t>http://ver.20m.es/a7toz2</t>
  </si>
  <si>
    <t>http://bit.ly/2REcoW3</t>
  </si>
  <si>
    <t>https://pbs.twimg.com/media/DtvwKUTWkAIf1Wn.jpg</t>
  </si>
  <si>
    <t>El Doctor Zaius</t>
  </si>
  <si>
    <t>Pedro Sánchez no se ha leído la Constitución, porque está esperando a que saquen la película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</si>
  <si>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Nueva York, USA</t>
  </si>
  <si>
    <t>Soy un simio de los que ya no quedan.</t>
  </si>
  <si>
    <t>MARISOL FUENTES</t>
  </si>
  <si>
    <t>Pedro .@sanchezcastejon desconoce la #Constitución: pide reformarla para incluir la #igualdad entre #hombres y #mujeres  vía @libertaddigital</t>
  </si>
  <si>
    <t>No es de extrañar que opines así, eres uno de los que, junto con los traidores al Secretario General Pedro Sánchez, pensabais que conseguiriais prebendas en un gobierno con Susana. Os fastidiamos vuestro proyecto y eso os ha jodido tanto que no sois capaces de eliminar la bilis🤮 RT @josecdiez: Tras el batacazo en Andalucia que aportó en las últimas elecciones el 20% de los votos del Psoe el CIS dice mantiene la intención de voto del 31% Si Sanchez no destituye ya a Tezanos él asumirá todo el coste de este despropósito en las proximas elecciones</t>
  </si>
  <si>
    <t>GRANADA / ANDALUCIA / SPAIN</t>
  </si>
  <si>
    <t>Ingeniera de Telecomunicación y M.B.A.. 🇪🇸 La Política es la mayor obra de Caridad del ser humano, siempre construyendo puentes, no muros (Papa Francisco).</t>
  </si>
  <si>
    <t>Dessy 🇪🇸🇪🇸🇪🇸</t>
  </si>
  <si>
    <t>Pedro Sánchez desconoce la Constitución: pide reformarla para incluir la igualdad entre hombres y mujeres - Libertad Digital . Es intolerable que sea presidente aunque de okupa , que gobierne un país sin ser votado!! Elecciones yaaa 🇪🇸</t>
  </si>
  <si>
    <t>Pedro Sanchez, no tengo que hacerlo, pero ten cuidado con Carmen Calvo Poyato que se está postulando para la Presidencia del partido haciendote una "cucamona". Al menos es lo que se comenta por estos lares (Asegura que no estas preparado para ser Presidente y ella si lo está).</t>
  </si>
  <si>
    <t>https://pbs.twimg.com/media/Dtw4fZKWsAA5Skn.jpg</t>
  </si>
  <si>
    <t>Abuchean a Pedro Sánchez a su llegada al Congreso por el 40 aniversario de la Constitución</t>
  </si>
  <si>
    <t>http://a.msn.com/01/es-es/BBQzFAI?ocid=st</t>
  </si>
  <si>
    <t>Facundo Suarez</t>
  </si>
  <si>
    <t>#CopaIpiranga2018 Los XI de River para enfrentar a Vasco Da Gama en minutos: Juan Martin Rojas; Mateo Martinez, Gabriel Chocobar, Pedro Pavlov, Matias Sanchez; Lautaro Grosso, Valentin Matlis, Rodrigo Castillo; Patricio Nuñez; Flavian Bedoya, Matias Benitez.</t>
  </si>
  <si>
    <t>buenos aires argentina</t>
  </si>
  <si>
    <t>Periodista Deportivo, con sangre roja y blanca en las venas, y fanático del rock. Miembro del @MPRiver</t>
  </si>
  <si>
    <t>Nacho Cardero</t>
  </si>
  <si>
    <t>En @elconfidencial: Pedro o Susana: ¿quién ha hundido el Titanic socialista en Andalucía?</t>
  </si>
  <si>
    <t>https://blogs.elconfidencial.com/espana/desde-fuera/2018-12-06/elecciones-andalucia-pedro-sanchez-susana-diaz-culpable-hundimiento-titanic-socialista_1688542/?utm_source=twitter&amp;utm_medium=social&amp;utm_campaign=BotoneraWeb</t>
  </si>
  <si>
    <t>Director El Confidencial</t>
  </si>
  <si>
    <t>http://blogs.elconfidencial.com/espana/caza-mayor/</t>
  </si>
  <si>
    <t>Rosa Llarena de Tabarnia</t>
  </si>
  <si>
    <t>https://pbs.twimg.com/media/Dtw4D4qXQAAh8ns.jpg</t>
  </si>
  <si>
    <t>Todo mi apoyo al Juez Llarena</t>
  </si>
  <si>
    <t>Miguel DeLa Peña Paz</t>
  </si>
  <si>
    <t>Pues kizas algún día se reconozca k con todos sus defectos sean los presidentes mejores de este país,aunke empiezo a creer k hasta yo me corromperia jajajaja Aznar caca de la vaca,castillo de cartón piedra , Felipe González un traidor, Pedro Sánchez es un arbusto k no se sabe RT @AbeInfanzon: Pedro Sánchez llega entre abucheos al Congreso en el día del 40 aniversario de la Constitución Lo mismo le ha ocurrido, aunque en menor medida, al expresidente del Gobierno, y también socialista, José Luis Rodríguez Zapatero  vía @abcdesevilla</t>
  </si>
  <si>
    <t>https://twitter.com/AbeInfanzon/status/1070651308909191168
https://sevilla.abc.es/espana/abci-pedro-sanchez-llega-entre-abucheos-congreso-40-aniversario-constitucion-201812061227_noticia.html#ns_campaign=rrss-inducido&amp;ns_mchannel=abcdesevilla-es&amp;ns_source=tw&amp;ns_linkname=noticia-foto&amp;ns_fee=0</t>
  </si>
  <si>
    <t>Ciencia y Tecnología Ciencia y Tecnología, mi lazo no muerde, no pega, no roba, no humilla, no miente, no insulta, solo pide libertad, uno k cree en la unidad</t>
  </si>
  <si>
    <t>Clara</t>
  </si>
  <si>
    <t>http://www.citizengo.org/hazteoir/166670-no-expolie-por-segunda-vez-archivo-salamanca?tc=tw&amp;tcid=52562403</t>
  </si>
  <si>
    <t>Accitana y muy española 🇪🇸 Madre de 3. Médica de Familia. Graduada en Sociología. Liberal. No DM.</t>
  </si>
  <si>
    <t>Educagri</t>
  </si>
  <si>
    <t>Normal, los españoles no quieren traidores.  vía @ABCespana</t>
  </si>
  <si>
    <t>Reflexiones científicas y políticas, agricultura, cultura y arte</t>
  </si>
  <si>
    <t>Rmb</t>
  </si>
  <si>
    <t>Eres muy tonto..!!! Pedro Sánchez desconoce la Constitución: pide reformarla para incluir la igualdad entre hombres y mujeres- Libertad Digital | Versión Móvil (mobile)</t>
  </si>
  <si>
    <t>#HalaMadridYNadaMás</t>
  </si>
  <si>
    <t>http://feedproxy.google.com/~r/libertaddigital/nacional/~3/7wJ1VFudM_s/?utm_source=dlvr.it&amp;utm_medium=twitter</t>
  </si>
  <si>
    <t>https://pbs.twimg.com/media/Dtw2BsdVYAArUgH.jpg</t>
  </si>
  <si>
    <t>Content curator en #SocialMedia | 22 de junio.</t>
  </si>
  <si>
    <t>Mariangeles</t>
  </si>
  <si>
    <t>Según Pedro Sánchez, con el Brexit perdemos todos, especialmente Reino Unido, pero en relación con Gibraltar, España gana  #TratadoUtrech #ConflictoGibraltarEspaña #DerechoDeAutodeterminación #Brexit #40añosdeConstitución</t>
  </si>
  <si>
    <t>𝓐𝓵𝓫𝓮𝓻𝓽𝓸 𝓐𝓻𝓻𝓲𝓫𝓪𝓼</t>
  </si>
  <si>
    <t>Casado y Rivera el centro?????????????</t>
  </si>
  <si>
    <t>🌹. Temo que algún día @eldiarioes publique que me gradué en el instituto a base de chuletillas. El Mundo. EFE. Europa Press.</t>
  </si>
  <si>
    <t>http://Instagram.com/albertoarribasm</t>
  </si>
  <si>
    <t>martinezvelazquez</t>
  </si>
  <si>
    <t>Madrid, Madrid</t>
  </si>
  <si>
    <t>española desencantada y muy preocupada</t>
  </si>
  <si>
    <t>Super Sanchez</t>
  </si>
  <si>
    <t>El tiempo pone a cada uno en su sitio...👇👇👇 ▶️ Abucheos a Pedro Sánchez en su llegada al Congreso  Enviado desde @updayESP</t>
  </si>
  <si>
    <t>https://f7td5.app.goo.gl/zky4s</t>
  </si>
  <si>
    <t>🇪🇸España🇪🇸</t>
  </si>
  <si>
    <t>Harto de traidores, golpistas, profesionales del fraude, corruptos, castuza chavista izquierdosa y demas morralla variada...</t>
  </si>
  <si>
    <t>Jakeandelwood1</t>
  </si>
  <si>
    <t>Este individuo es un majadero, siendo bueno con él. Pedro Sánchez desconoce la Constitución: pide reformarla para incluir la igualdad entre hombres y mujeres  vía @libertaddigital</t>
  </si>
  <si>
    <t>Me encanta la música. Toda la música. Madrileño de toda la vida. Ah, y del Atleti. Lo mejor, mi hija, un auténtico crack</t>
  </si>
  <si>
    <t>Revista Liberal 🇪🇸</t>
  </si>
  <si>
    <t>Es un completo inútil.</t>
  </si>
  <si>
    <t>🇪🇸 Defendiendo la libertad individual, el derecho de la propiedad y la limitación del poder público.</t>
  </si>
  <si>
    <t>http://revistaliberal.com/</t>
  </si>
  <si>
    <t>Verdadera Izquierda</t>
  </si>
  <si>
    <t>🚨 El Gobierno de Pedro Sánchez gastará 8 millones en comprar 142 nuevos coches oficiales ➡  LAS EMERGENCIAS SOCIALES DE LA IZQUIERDA</t>
  </si>
  <si>
    <t>http://ow.ly/hGEI30mmISS</t>
  </si>
  <si>
    <t>Perfil creado para desenmascarar las mentiras de la izquierda y del socialismo de este gran país llamado España. Para descubrirlos lee nuestro blog:</t>
  </si>
  <si>
    <t>http://verdaderaizquierda.blogspot.com</t>
  </si>
  <si>
    <t>Pedro Sánchez aleja la posibilidad de elecciones en marzo: “Seguiremos gobernando” | España | EL PAÍS</t>
  </si>
  <si>
    <t>Guaje Salvaje</t>
  </si>
  <si>
    <t>Según los resultados de la encuesta del CIS, es imposible que nadie abucheara a Pedro Sánchez a su llegada al Congreso hoy. Por tanto, este vídeo no existe. Tapaos los oídos y cerrad los ojos si le dais al 📽️.</t>
  </si>
  <si>
    <t>Otro miembro anónimo de la mayoría silenciosa. Un catalán no indepe que no acepta ser un ciudadano de segunda</t>
  </si>
  <si>
    <t>Si queremos una ESPAÑA en libertad y en democracia y con buena prosperidad. No votemos ni a Pedro Sánchez, ni a Podemos. ESPAÑA sería otra Venezuela dictadura y de miseria. Votemos al PP a Ciudadanos y a VOX. Estos tres nos traerán prosperidad para ESPAÑA.</t>
  </si>
  <si>
    <t>https://pbs.twimg.com/media/Dtw0ErCW4AENgD9.jpg</t>
  </si>
  <si>
    <t>Archivo de Salamanca</t>
  </si>
  <si>
    <t>FIRMA y comparte, por favor!!! Para que Pedro Sánchez no entregue a los separatistas más documentos valencianos (y devuelvan los que robaron antes):  @cullajoan</t>
  </si>
  <si>
    <t>https://www.citizengo.org/hazteoir/166670-no-expolie-por-segunda-vez-archivo-salamanca</t>
  </si>
  <si>
    <t>pic.twitter.com/sjQdKDqZaB</t>
  </si>
  <si>
    <t>Movimiento social contra la desmembración del Archivo de Salamanca. Para que siga siendo de todos y nunca moneda de cambio</t>
  </si>
  <si>
    <t>http://www.salvararchivosalamanca.es</t>
  </si>
  <si>
    <t>jose carlos curto</t>
  </si>
  <si>
    <t>Pedro Sánchez on Twitter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</si>
  <si>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Almonte</t>
  </si>
  <si>
    <t>Pasion por el Toro!!! El lunes de pentecostes. PP Almonte, PP Huelva. Gestor de Negocios Activo Inmobiliario en CaixaBank</t>
  </si>
  <si>
    <t>http://www.holatravelalmonte.es</t>
  </si>
  <si>
    <t>FIRMA y comparte, por favor!!! Para que Pedro Sánchez no entregue a los separatistas más documentos del Archivo de Salamanca (y devuelvan los que robaron antes):  @FrayJosepho</t>
  </si>
  <si>
    <t>Lamoscamasoca</t>
  </si>
  <si>
    <t>Gente pitando a Sánchez, al borbón( no se remarca en el titular, por?) y eso que era en Madrid...</t>
  </si>
  <si>
    <t>"Que seas una personalidad, no significa que tengas personalidad" ( Sr.Lobo ; Pulp Fiction )</t>
  </si>
  <si>
    <t>FIRMA y comparte, por favor!!! Para que Pedro Sánchez no entregue a los separatistas más documentos del Archivo de Salamanca (y devuelvan los que robaron antes):  @ldpsincomplejos</t>
  </si>
  <si>
    <t>Total que estamos todos fichados no hay ningún derecho a la intimidad delos pensamientos políticos que tenga una persona y Pedro Sanchez era el que se metía con el PPporque decía que habían puesto la “ley mordaz”una mordaza había que ponerle a él estoy indignada no me hagáis caso RT @AboGuzmanCubero: @Gabrielaapf Sin necesidad de autorización, los partidos podrán rastrear datos personales en Internet para sus actividades políticas y perfiles ideológicos durante los periodos electorales.</t>
  </si>
  <si>
    <t>https://twitter.com/AboGuzmanCubero/status/1070785256314281985</t>
  </si>
  <si>
    <t>Salvador Cruz (Boro)</t>
  </si>
  <si>
    <t>https://pbs.twimg.com/media/Dtwm80-WsAE24er.jpg</t>
  </si>
  <si>
    <t>Esto es la bomba</t>
  </si>
  <si>
    <t>https://www.instagram.com/boroscq</t>
  </si>
  <si>
    <t>José C. Vilorio ن</t>
  </si>
  <si>
    <t>.@sanchezcastejon desconoce la Constitución: pide reformarla para incluir la igualdad entre hombres y mujeres  Para que no se esfuerce mucho le digo el art. es el Artículo 14</t>
  </si>
  <si>
    <t>http://bit.ly/2Qjg82I</t>
  </si>
  <si>
    <t>https://pbs.twimg.com/media/DtwmluSWoAA2cRa.jpg</t>
  </si>
  <si>
    <t>Valladolid, Castilla y León</t>
  </si>
  <si>
    <t>#Criminología, International Police Association, Webmaster @UnionGC, Sec. Tec. @SECCIF, veterano #BRIPAC e IPE1, cofrade @PiedadVLL, Coop. @opusdei_es</t>
  </si>
  <si>
    <t>http://www.matrix666.net</t>
  </si>
  <si>
    <t>Pelicano</t>
  </si>
  <si>
    <t>Cataluña está en guerra contra España esto ya es gravísimo los independentistas hacen lo que le salen de los cojones y con estos quiere Pedro Sánchez pactar los presupuestos estos si son constitucionales verdad ministra Calvo no tenéis vergüenza @Psoe RT @arturelpayaso2: Radicales independentistas, los amigos de Quim Torra y Puigdemont, agreden salvajemente a Álvaro de Marichalar, quien tuvo que huir para no ser linchado. Cataluña está en guerra, y quien no lo vea, que se lo haga mirar.</t>
  </si>
  <si>
    <t>Soy español hasta la médula y la defenderé hasta la muerte VIVA ESPAÑA Y VIVA EL REY</t>
  </si>
  <si>
    <t>Intentar mantener el aparato político tal cual tiene cada vez más coste para la burguesía española, multiplicando las expresiones centrífugas de la pequeña burguesía en todo el territorio</t>
  </si>
  <si>
    <t>Los reflejos de Sánchez son cada vez más suicidas. Lo último: desarbolar al PSOE andaluz o vender Bankia a precio de derribo para financiar margen de negociación con el PNV</t>
  </si>
  <si>
    <t>Rose Carlington</t>
  </si>
  <si>
    <t>http://dlvr.it/Qt11d7</t>
  </si>
  <si>
    <t>https://pbs.twimg.com/media/DtwzBzgU0AADuHI.jpg</t>
  </si>
  <si>
    <t>me encanta la actualidad y las nuevas tecnologías 😍</t>
  </si>
  <si>
    <t>Tower Defense</t>
  </si>
  <si>
    <t>Pedro Sánchez quiere reformar la Constitución para incluir la igualdad entre hombres y mujeres.</t>
  </si>
  <si>
    <t>https://www.meneame.net/story/pedro-sanchez-quiere-reformar-constitucion-incluir-igualdad</t>
  </si>
  <si>
    <t>siempre en la izquierda</t>
  </si>
  <si>
    <t>Es absolutamente cierto que no existen las verdades absolutas</t>
  </si>
  <si>
    <t>Benjamín Mantecón Ramírez</t>
  </si>
  <si>
    <t>Pedro Sánchez cada vez lo está haciendo peor. Está empeñado en seguir gobernando con los CIAs (Catalanistas Independentistas Antiespañoles) y no lo va a conseguir. Con esta gente no vale ningún tipo de concesiones como se ve. Lo único que vale es el art 155.</t>
  </si>
  <si>
    <t>#Pinchisca</t>
  </si>
  <si>
    <t>https://pbs.twimg.com/media/Dtwx8KhU0AAyus4.jpg</t>
  </si>
  <si>
    <t>#HalaMadrid</t>
  </si>
  <si>
    <t>Valerio Di Stefano</t>
  </si>
  <si>
    <t>La #Costituzione spagnola compie 40 anni. Da Adolfo Suárez a Pedro #Sánchez. ¡que viva #España!</t>
  </si>
  <si>
    <t>Italy</t>
  </si>
  <si>
    <t>Forsan et haec olim meminisse iuvabit (Virgilio, Eneide, I, 203)</t>
  </si>
  <si>
    <t>http://www.valeriodistefano.com/</t>
  </si>
  <si>
    <t>Jesus</t>
  </si>
  <si>
    <t>No se puede ser más tonto e inculto. Pero como es posible que semejante mentecato sea el Presidente de España? Es increíble!</t>
  </si>
  <si>
    <t>ANA MORADILLO</t>
  </si>
  <si>
    <t>Gritos de '¡fuera, fuera!' y abucheos en la llegada de Pedro Sánchez al acto por el 40 aniversario de la Constitución  vía @laSextaTV</t>
  </si>
  <si>
    <t>http://j.mp/2EeU7LT</t>
  </si>
  <si>
    <t>Antonio Fernandez</t>
  </si>
  <si>
    <t>Vitoria-Gasteiz</t>
  </si>
  <si>
    <t>A conseguir mejorar el entorno en todos los sentidos</t>
  </si>
  <si>
    <t>Asonipse Solrac</t>
  </si>
  <si>
    <t>https://pbs.twimg.com/media/DtwwN1oXgAohItK.jpg</t>
  </si>
  <si>
    <t>Iam Salty ☆</t>
  </si>
  <si>
    <t>No hay nada fácil ni nada gratis, vivir me cuesta mucho cada día. There is nothing left to lose. Follow me !!!</t>
  </si>
  <si>
    <t>http://cotidianaplace.blogspot.com.es/</t>
  </si>
  <si>
    <t>Pedro Sánchez desconoce la Constitución: pide reformarla para incluir la igualdad entre hombres y mujeres - Libertad Digital  Normal de alguien al que le tuvieron que hacer la tesis.</t>
  </si>
  <si>
    <t>LINCE</t>
  </si>
  <si>
    <t>artistamiyares: PEDRO SÁNCHEZ ALEJA LA POSIBILIDAD DE ELECCIONES E... A SÁNCHEZ HAY QUE SACARLE DE LA MONCLOA PEGADO AL SILLÓNhttps://blogmiyares.blogspot.com/2018/12/pedro-sanchez-aleja-la-posibilidad-de.html?spref=tw</t>
  </si>
  <si>
    <t>Abucheos y pitos a Pedro Sánchez a las puertas del Congreso en el 6-D  vía @elespanolcom</t>
  </si>
  <si>
    <t>https://www.elespanol.com/espana/politica/20181206/abucheos-pitos-pedro-sanchez-puertas-congreso/358714535_0.html</t>
  </si>
  <si>
    <t>Asunción Soto</t>
  </si>
  <si>
    <t>Antes de hablar podría leer algo. Pedro Sánchez desconoce la Constitución: pide reformarla para incluir la igualdad entre hombres y mujeres - Libertad Digital</t>
  </si>
  <si>
    <t>Siempre aprendiendo.</t>
  </si>
  <si>
    <t>MªJosé F.San Segundo</t>
  </si>
  <si>
    <t>“Pedro o Susana: ¿quién ha hundido el Titanic socialista en Andalucía?” El análisis de @isidorotapia en @elconfidencial</t>
  </si>
  <si>
    <t xml:space="preserve">En la LUZ. Y en Valencia. </t>
  </si>
  <si>
    <t>Doctora en Derecho | Licenciada Ciencias Políticas y Administración | Profesora Derecho Civil | Abogado I Músico | Diputada | Portavoz Justicia @popularescorts</t>
  </si>
  <si>
    <t>http://www.ferrerdesansegundo.com</t>
  </si>
  <si>
    <t>TheCormental</t>
  </si>
  <si>
    <t>Me ha gustado un vídeo de @YouTube ( - Pedro Sánchez recibe un nuevo abucheo esperando al Rey a las puertas</t>
  </si>
  <si>
    <t>http://youtu.be/0U0D-Kk-wl4?a</t>
  </si>
  <si>
    <t>Cada vez mas cerca de mis objetivos ! M.J. DO IT WITH L.O.V.E.</t>
  </si>
  <si>
    <t>https://www.instagram.com/crisnpatience/</t>
  </si>
  <si>
    <t>Vargas</t>
  </si>
  <si>
    <t>Mamarracho, #OkupaDeMoncloa, #Traidor lee el artículo 14 y deja de decir tonterías y de buscar el voto fácil de quien te sigue ciegamente y #Ponteatrabajar... O mejor #VeteYa #EleccionesYa</t>
  </si>
  <si>
    <t>Harto ya de estar harto, ya me cansé de preguntarle al mundo por qué y por qué...</t>
  </si>
  <si>
    <t>EL TALAVERANO</t>
  </si>
  <si>
    <t>Los socios de Pedro Sánchez siguen con las celebraciones organizadas por Pablo Iglesias por el día de la Constitución.</t>
  </si>
  <si>
    <t>En el asenso dormito. Si despierto, discordia. 🇪🇸 NO ME PISOTEES.</t>
  </si>
  <si>
    <t>Guillermo Fraga</t>
  </si>
  <si>
    <t>Por qué ha anunciado Pedro Sánchez que presentará los Presupuestos en enero  vía @ecd_ @ronfraba</t>
  </si>
  <si>
    <t>Pedro @sanchezcastejon desconoce la Constitución: pide reformarla para incluir la igualdad entre hombres y mujeres El presidente del Gobierno obvia el artículo 14 de la Carta Magna. Su comentario ha provocado un auténtico revuelo en @Twitter.</t>
  </si>
  <si>
    <t>https://www.elconfidencialdigital.com/articulo/politica/pedro-sanchez-ha-anunciado-presentara-presupuestos-enero/20181205172146118999.html</t>
  </si>
  <si>
    <t xml:space="preserve">Santa Cruz (Oleiros-A Coruña) </t>
  </si>
  <si>
    <t>Gallego Español UE (Padre+2)</t>
  </si>
  <si>
    <t>Los ciudadanos "votan" frente al Congreso y sentencia con estruendosos abucheos a Pedro Sánchez. Mientras, aplausos para Felipe, Aznar y Rajoy. El verdadero CIS...</t>
  </si>
  <si>
    <t>elisadocio</t>
  </si>
  <si>
    <t>Palencia. España</t>
  </si>
  <si>
    <t>http://www.elisadocio.com</t>
  </si>
  <si>
    <t>Felipe Ramos</t>
  </si>
  <si>
    <t>La explicación menos patética es que sólo haya leído los primeros 13 artículos de la Constitución y se haya parado antes de 14.</t>
  </si>
  <si>
    <t>Sic semper tyrannis</t>
  </si>
  <si>
    <t>http://gk67dm.blogspot.com.es/</t>
  </si>
  <si>
    <t>#40AñosDeConstitución y parece ser que Pedro Sanchez no se la ha leído RT @TeoGarciaEgea: Si no sabe ni defender a España con el art 1 de la Constitución... no le pidamos llegar al art. 14 “Art14: Los españoles son iguales ante la ley, sin que pueda prevalecer discriminación alguna por razón de nacimiento, raza, sexo, religión, opinión o cualquier otra condición...”</t>
  </si>
  <si>
    <t>https://twitter.com/TeoGarciaEgea/status/1070759406223151104
https://twitter.com/sanchezcastejon/status/1070736196228317184</t>
  </si>
  <si>
    <t>En @elconfidencial: Sánchez, enfría el avance electoral: "En marzo seguiremos trabajando y gobernando"</t>
  </si>
  <si>
    <t>Daniel Robles Padial</t>
  </si>
  <si>
    <t>No me he leído el artículo 14 de la Constitución, Hulio.</t>
  </si>
  <si>
    <t>Abogado en Graná, casi na.</t>
  </si>
  <si>
    <t>http://www.roblespadial.com</t>
  </si>
  <si>
    <t>Kleine Rüdiger</t>
  </si>
  <si>
    <t>Y mientras tanto, en el mundo paralelo de Pedro Sánchez...: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</si>
  <si>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Triana / La Umbría</t>
  </si>
  <si>
    <t>Rancio. Nostálgico de los almacenes Gicos y de la pastelería Nova Roma. Menos gin-tonics y más carajillos de Soberano.</t>
  </si>
  <si>
    <t>Aitor Lourido</t>
  </si>
  <si>
    <t>Lees twitter y tienes a gente exaltada por hacer un telediario "derechizado" por poner los abucheos a Pedro Sánchez y a otra tanta acusándonos de "propaganda" gubernamental. 😂 Fantástico. Algo debemos estar haciendo bien. 💪</t>
  </si>
  <si>
    <t>Málaga Hoy</t>
  </si>
  <si>
    <t>Pedro Sánchez no garantiza convocar elecciones si los Presupuestos encallan</t>
  </si>
  <si>
    <t>http://ddsevilla.info/doqni2</t>
  </si>
  <si>
    <t>https://pbs.twimg.com/media/Dtws01pXQAAQr8W.jpg</t>
  </si>
  <si>
    <t>Málaga (Andalucía, España)</t>
  </si>
  <si>
    <t>La redacción de Málaga Hoy te cuenta la última hora. Todo el deporte lo tienes también en @malagahoydxt // Director: @amendezn // local@malagahoy.es</t>
  </si>
  <si>
    <t>http://www.malagahoy.es</t>
  </si>
  <si>
    <t>pic.twitter.com/n9hazpbZE9</t>
  </si>
  <si>
    <t>Huelva Información</t>
  </si>
  <si>
    <t>https://pbs.twimg.com/media/Dtws01sWkAENzGQ.jpg</t>
  </si>
  <si>
    <t>Todos los días te llevamos a tu kiosco y a internet la actualidad de Huelva y su provincia, de Andalucía, España y el Mundo.</t>
  </si>
  <si>
    <t>http://www.huelvainformacion.es/</t>
  </si>
  <si>
    <t>Europa Sur</t>
  </si>
  <si>
    <t>https://pbs.twimg.com/media/Dtws00yWwAEtbkk.jpg</t>
  </si>
  <si>
    <t>Diario independiente del Campo de Gibraltar</t>
  </si>
  <si>
    <t>http://www.europasur.es</t>
  </si>
  <si>
    <t>GranadaHoy</t>
  </si>
  <si>
    <t>https://pbs.twimg.com/media/Dtws0z4XQAAiBVy.jpg</t>
  </si>
  <si>
    <t>Diario de información general de Granada</t>
  </si>
  <si>
    <t>http://www.granadahoy.com</t>
  </si>
  <si>
    <t>Diario de Cádiz</t>
  </si>
  <si>
    <t>https://pbs.twimg.com/media/Dtws0yVWsAAHha8.jpg</t>
  </si>
  <si>
    <t>Cádiz</t>
  </si>
  <si>
    <t>Diario de Cádiz. Decano de la prensa andaluza. Fundado en 1867</t>
  </si>
  <si>
    <t>http://www.diariodecadiz.es/</t>
  </si>
  <si>
    <t>Diario de Almería</t>
  </si>
  <si>
    <t>https://pbs.twimg.com/media/Dtws0x5W0AAAYM0.jpg</t>
  </si>
  <si>
    <t>Twitter oficial de Diario de Almería, medio de comunicación presente en los quioscos de la provincia de Almería. También en http://www.diariodealmeria.es.</t>
  </si>
  <si>
    <t>http://www.diariodealmeria.es/</t>
  </si>
  <si>
    <t>Diario de Jerez</t>
  </si>
  <si>
    <t>https://pbs.twimg.com/media/Dtws0ymWkAEmH2i.jpg</t>
  </si>
  <si>
    <t>Jerez de la Frontera</t>
  </si>
  <si>
    <t>Diario independiente de Jerez de la Frontera.</t>
  </si>
  <si>
    <t>http://www.diariodejerez.es/</t>
  </si>
  <si>
    <t>El Día de Córdoba</t>
  </si>
  <si>
    <t>Diego dal Santo</t>
  </si>
  <si>
    <t>El inutil no descansa.@sanchezcastejon desconoce la Constitución: pide reformarla para incluir la igualdad entre hombres y mujeres.</t>
  </si>
  <si>
    <t>https://pbs.twimg.com/media/Dtws0ytXgAAWtNM.jpg</t>
  </si>
  <si>
    <t>Córdoba - España</t>
  </si>
  <si>
    <t>Diario local de información de Córdoba y su provincia perteneciente al Grupo Joly.</t>
  </si>
  <si>
    <t>http://eldiadecordoba.es</t>
  </si>
  <si>
    <t>theo kas</t>
  </si>
  <si>
    <t>¡¡Es muy fuerte lo del Sr. Sanchez!!. No se ha leído la Constitución</t>
  </si>
  <si>
    <t>Gañan, analfabeto e intentando aprender algo -nunca discutas con un estúpido, te hará descender a su nivel y ahí, te ganará por experiencia-(si m sig, te sigo)</t>
  </si>
  <si>
    <t>PacoAdell</t>
  </si>
  <si>
    <t>Entrevista | Pedro Sánchez: “A los independentistas les da igual el modelo de Estado, quieren ir contra el ser de España”  via @elpais_espana</t>
  </si>
  <si>
    <t>Eivissa</t>
  </si>
  <si>
    <t>Pare, fill, enamorat de l'amor. Historiador. Socialista. Cercant la màgia de millorar la societat. Escaquista. Professor.</t>
  </si>
  <si>
    <t>http://escacseivissa.blogspot.com.es/</t>
  </si>
  <si>
    <t>Manuel Jardón</t>
  </si>
  <si>
    <t>ENTREVISTA @natashanieb: El Gobierno de Macri igual se autodefine como no ideológico, “pragmático” @sanchezcastejon: En España, siempre que se dice eso es que alguien es conservador 👉</t>
  </si>
  <si>
    <t>https://www.clarin.com/opinion/pedro-sanchez-macri-entendemos-bien-alla-diferencias-ideologicas_0_BbMDUR9qx.html</t>
  </si>
  <si>
    <t>San Clemente del Tuyú</t>
  </si>
  <si>
    <t>Cada lechón con su teta, es el modo de mamar. #Selena #Manuela #Matilda -Profesor en Historia- 🇦🇷</t>
  </si>
  <si>
    <t>Ese programa del que Ud me habla</t>
  </si>
  <si>
    <t>¡Arranca nuestra ronda rápida de noticias! 🚀 La única sección que dura menos de lo que tarda Pedro Sánchez en cambiar de opinión. 😅 #EsePrograma6Dic</t>
  </si>
  <si>
    <t>pic.twitter.com/aa6XHcamq9</t>
  </si>
  <si>
    <t>El humor de actualidad vuelve a @la2_tve. Si no la liamos en Twitter, no habrá merecido la pena.</t>
  </si>
  <si>
    <t>Tercerarepublica</t>
  </si>
  <si>
    <t>Pablo Casado lleva meses diciendo que Pedro Sánchez no puede gobernar con 84 diputados de 350 (24%) y él quiere gobernar Andalucía con 26 de 109 (23,85%)😅</t>
  </si>
  <si>
    <t>3ª Republic Official Account.</t>
  </si>
  <si>
    <t>Pedro Sánchez se acostará hoy tranquilo: le han abucheado, pero el CIS dice que ganará las elecciones.</t>
  </si>
  <si>
    <t>David_P 🇪🇸</t>
  </si>
  <si>
    <t>Y Pedro Sánchez PSOE quitando a los abogados del Estado que piden rebelión para los golpistas #2018EnResumen #Catalan RT @Escribano_R: Antifascistas se llaman.</t>
  </si>
  <si>
    <t>https://twitter.com/Escribano_R/status/1070649446927663104</t>
  </si>
  <si>
    <t>pic.twitter.com/Qirq5pira0</t>
  </si>
  <si>
    <t>Pinto, España</t>
  </si>
  <si>
    <t>Pinteño, casado, papá orgulloso, atlético, graduado en Ingeniería Industrial y políticamente claro.</t>
  </si>
  <si>
    <t>https://mobile.twitter.com/david_dpedro</t>
  </si>
  <si>
    <t>Morena46</t>
  </si>
  <si>
    <t>Pedro sanchez haz elecciones porque para mi no eres el presidente primero porque no as sido elegido por los españoles ten narices y ponte enfrente de las urnas haber que es lo que vamos a decidir pormi vas a quedar fuera del gobierno.</t>
  </si>
  <si>
    <t>Girona, España</t>
  </si>
  <si>
    <t>https://pbs.twimg.com/media/DtwpvYIXgAAiVnB.jpg</t>
  </si>
  <si>
    <t>Maria Barbossa</t>
  </si>
  <si>
    <t>Pedro Sánchez quiere reformar la Constitución para incluir la igualdad entre hombres y mujeres  vía @@VeoInfo_</t>
  </si>
  <si>
    <t>http://www.veoinfo.com/pedro-sanchez-quiere-reformar-la-constitucion-para-incluir-la-igualdad-entre-hombres-y-mujeres/</t>
  </si>
  <si>
    <t>Saint-Martin-de-Londres. Filosifía (UB) (1997). Economía (Cambridge Univ.) (2002). Comercio Internacional (IEA) (2004)</t>
  </si>
  <si>
    <t>🤔</t>
  </si>
  <si>
    <t>http://www.york.ac.uk/</t>
  </si>
  <si>
    <t>t.</t>
  </si>
  <si>
    <t>Poco se habla de la cara que se le va a quedar mañana a Pedro Sánchez cuando le expliquen el por qué del incidente diplomático con Suecia. #OTDirecto6DIC</t>
  </si>
  <si>
    <t>life on mars</t>
  </si>
  <si>
    <t>🦕</t>
  </si>
  <si>
    <t>Si tuviera un mínimo de dignidad debería dejar el cargo y convocar elecciones inmediatamente.</t>
  </si>
  <si>
    <t>http://videos.elmundo.es/v/0_lwslz5du-abucheos-a-pedro-sanchez?uetv_pl=0&amp;count=0</t>
  </si>
  <si>
    <t>C. Z.</t>
  </si>
  <si>
    <t>https://www.20minutos.es/noticia/3510387/0/abucheos-pedro-sanchez-congreso-aniversario-constitucion/?utm_source=twitter.com&amp;utm_medium=socialshare&amp;utm_campaign=mobile_amp</t>
  </si>
  <si>
    <t>Re-Twitteador de oficio. Lector de cualquier cosa. Y en busca de un mejor país.</t>
  </si>
  <si>
    <t>cendreivan 🏳️‍🌈</t>
  </si>
  <si>
    <t>http://chng.it/vWbLx8q5</t>
  </si>
  <si>
    <t>lo verde que no muerde..</t>
  </si>
  <si>
    <t>http://www.instagram.com/cendreivan</t>
  </si>
  <si>
    <t>Sánchez insiste. Ante cada nuevo síntoma de descomposición, «patadón palante»: tras el descalabro andaluz, presupuestos en enero y esperar que PP y Cs se enfanguen solos con Vox</t>
  </si>
  <si>
    <t>http://bit.ly/2AWSONA</t>
  </si>
  <si>
    <t>Laylleta</t>
  </si>
  <si>
    <t>Hoy he visto a las cuatro ex presidentes de España y me han parecido todos buenos incluso Zapatero q está dejando mal a Pedro Sánchez</t>
  </si>
  <si>
    <t>Este okupa golpista a las urnas del  conoce la Constitución Pedro Sánchez desconoce la Constitución: pide reformarla para incluir la igualdad entre hombres y mujeres  vía @libertaddigital</t>
  </si>
  <si>
    <t>http://pueblo.No
https://www.libertaddigital.com/espana/2018-12-06/pedro-sanchez-desconoce-la-constitucion-pide-reformarla-para-incluir-la-igualdad-entre-hombres-y-mujeres-1276629507/</t>
  </si>
  <si>
    <t>Albert</t>
  </si>
  <si>
    <t>Apoyad a Pedro Sánchez que es superprogresista: -Expulsiones sumarias de inmigrantes, incluidos retornos a Libia. -La ley mordaza se queda. -La reforma laboral se queda. -Condecora a Sánchez Corbí, condenado por torturas -Lleva al TC la denuncia contra la reprobación del Rey ...</t>
  </si>
  <si>
    <t>https://pbs.twimg.com/media/DtwoYG7WoAA9Q4o.jpg</t>
  </si>
  <si>
    <t>Països catalans per alliberar</t>
  </si>
  <si>
    <t>LLIBERTAT-No ens cal permís per a ser lliures IGUALTAT-L'únic signe de superioritat que reconec és la bondat FRATERNITAT-Només l'amor és llavor del què perdura</t>
  </si>
  <si>
    <t>Maria José Rodríguez Pérez</t>
  </si>
  <si>
    <t>#40AñosDeConstitución Pedro Sánchez el presidente 🚭 no electo está muy 🦍 moreno, sólo Le interesa el 📯 postureo, qué 👲 guapi to doy y qué culito tengo 🤔</t>
  </si>
  <si>
    <t>Percusionista y cabezona. Fin</t>
  </si>
  <si>
    <t>Tabata Conbata</t>
  </si>
  <si>
    <t>Se puede ser más inútil o será un paso más de la manipulación de mentes incultas?? Pedro Sánchez desconoce la Constitución: pide reformarla para incluir la igualdad entre hombres y mujeres - Libertad Digital</t>
  </si>
  <si>
    <t>Juan Pombar</t>
  </si>
  <si>
    <t>Para entender la magnitud del éxito de la Constitucion Española imaginad que hace 40 años se sentaron en la misma mesa Pablo Casado, Pedro Sánchez, Albert Rivera, Pablo Iglesias, Alberto Garzón, Gabriel Rufián y Santiago Abascal. Y llegaron a un acuerdo.</t>
  </si>
  <si>
    <t xml:space="preserve">Urantia </t>
  </si>
  <si>
    <t>Poeta en mis versos libres. Proyecto de optimista patológico. Doctorado en causas perdidas. Ciencia con piel de letra.</t>
  </si>
  <si>
    <t>http://www.pensamientosreducidos.es/</t>
  </si>
  <si>
    <t>MCarmen Zavaleta</t>
  </si>
  <si>
    <t>En el aniversario de los #40AñosdeConstitución española: Pedro Sánchez desconoce la Constitución: pide reformarla para incluir la igualdad entre hombres y mujeres.  vía @libertaddigital</t>
  </si>
  <si>
    <t>Apasionada por España y Madrid. Católica y Conservador. 🇪🇸 🇵🇪 #Chamberí #HalaMadrid 😍😊</t>
  </si>
  <si>
    <t>https://twitter.com/</t>
  </si>
  <si>
    <t>MAd Madrid</t>
  </si>
  <si>
    <t>No quiero ni pensar que en una hipotética república alguien como Pedro Sánchez o Pablo Iglesias pudiesen ser el presidentes.</t>
  </si>
  <si>
    <t>Una segunda oportunidad la merecemos todos.</t>
  </si>
  <si>
    <t>Esther 🇪🇸🇪🇸🇪🇸</t>
  </si>
  <si>
    <t>Pedro Sánchez, aquel que en el mejor de los casos, permanecerá en la historia de España como traidor y amante de los aviones y helicopteros pagados por Españoles.ESTOS SON LOS VERDADEROS EXTREMA IZQUIERDA RANCIA Y RADICAL</t>
  </si>
  <si>
    <t>https://pbs.twimg.com/media/Dtwny-2W4AEGPWF.jpg</t>
  </si>
  <si>
    <t>Benissa, España</t>
  </si>
  <si>
    <t>luis lopez</t>
  </si>
  <si>
    <t>¿Por que Pablo Iglesias tiene tanto empeño en acabar con la monarquía? ¿porque sabe que en las urnas se va a comer los mocos y prefiere comer caviar en el avión como Pedro Sánchez? Y si hay dos puestos tiene el doble de posibilidades de pillar, porq q le gusta la pasta está claro</t>
  </si>
  <si>
    <t>mis conocimientos son tan pocos que no me atrevo a exigirle a nadie que haga lo mismo que yo ni a prohibirle lo que a mí no me gusta</t>
  </si>
  <si>
    <t>ʀaquᴇʟ</t>
  </si>
  <si>
    <t>¿Por qué cuando le pitan al Rey lo hacen noticia, pero cuando le pitan a Pedro Sánchez no? Si a Sánchez le ha votado más gente.</t>
  </si>
  <si>
    <t>IZQUIERDA</t>
  </si>
  <si>
    <t>Animalista | Republicana de izquierdas | Antifascista | Feminista♀</t>
  </si>
  <si>
    <t>Pedro Sánchez quiere reformar la Constitución a su gusto. Para ello cuenta con 84 diputados, unos socios que quieren una constitución bolivariana, otros que odian España, las encuestas de Tezanos y toneladas de ilusión.</t>
  </si>
  <si>
    <t>https://twitter.com/sanchezcastejon/status/1070594097252065280</t>
  </si>
  <si>
    <t>https://pbs.twimg.com/media/DtuC5P7XgAACSBw.jpg</t>
  </si>
  <si>
    <t>Cusco_</t>
  </si>
  <si>
    <t>Lo de éste estúpido no tiene nombre. Día tras dia haciéndo él ridículo. Nadie puede asesorar a éste idiota? Pedro Sánchez desconoce la Constitución: pide reformarla para incluir la igualdad entre hombres y mujeres</t>
  </si>
  <si>
    <t>http://flip.it/w6P3v9</t>
  </si>
  <si>
    <t>“El sabio puede cambiar de opinión. El necio, nunca</t>
  </si>
  <si>
    <t>https://pbs.twimg.com/media/DtwT3raWwAECHW3.jpg</t>
  </si>
  <si>
    <t>Germán Junqueras M.</t>
  </si>
  <si>
    <t>Iniciamos desde "Los Españoles Primero - LEP" ésta petición donde Pedro Sánchez quiere firmar el pacto de inmigración de la Onu, de Merkel y compañía dándoles los que firmen la soberanía nacional y el control que...</t>
  </si>
  <si>
    <t>https://www.facebook.com/100026335094807/posts/209545016600000/</t>
  </si>
  <si>
    <t xml:space="preserve"> Spain</t>
  </si>
  <si>
    <t>PÁGINA OFICIAL EN FACEBOOK: https://www.facebook.com/LosespanolesprimeroLEP.PAGINAOFICIAL/</t>
  </si>
  <si>
    <t>España no sé vende Pedro Sánchez en ese caso si que té as vendido tú míserable traídor JUDÁ descerebrado indesente chulo barato cobarde . El Reloj ya está puesto en marcha TIC TAC TIC TAC TIC TAC. RT @currusquita: Este líder de espejo en mano y totalitarismo en vena , socio de la inmundicia política , no es más que una marioneta obediente a un Ego exacerbado y traidor. Hay que reformar la Constitución ¿Para "vender" #España al golpismo y al Neocomunismo? #Despertad #40AñosDeConstitución</t>
  </si>
  <si>
    <t>https://twitter.com/currusquita/status/1070640608732213248
https://twitter.com/sanchezcastejon/status/1070594097252065280</t>
  </si>
  <si>
    <t>Somos Gran Canaria</t>
  </si>
  <si>
    <t>http://dlvr.it/Qt0qHg</t>
  </si>
  <si>
    <t>https://pbs.twimg.com/media/DtwlzdvUcAA4SdH.jpg</t>
  </si>
  <si>
    <t>Gran Canaria, Canarias. España</t>
  </si>
  <si>
    <t>Joven, ha llegado Somos Gran Canaria #SomosGranCanaria #SomosCanarias #Canarias</t>
  </si>
  <si>
    <t>J.C.J.M</t>
  </si>
  <si>
    <t>El Felón es, además, tonto y no da pa más. Pedro Sánchez desconoce la Constitución: pide reformarla para incluir la igualdad entre hombres y mujeres  vía @libertaddigital</t>
  </si>
  <si>
    <t>El defecto del capitalismo es el desigual reparto de la riqueza, el del comunismo el igualitario reparto de la miseria. Me sigues, te sigo.</t>
  </si>
  <si>
    <t>pic.twitter.com/8Crfapw3Zu</t>
  </si>
  <si>
    <t>el más grande🇪🇸</t>
  </si>
  <si>
    <t>Esta es la diferencia entre @pablocasado_ el cual la gente le pide que se acerque para saludarle y hacer fotos, y Pedro Sánchez, el cual no hace falta que se acerque para que le pidan que se marche y le piten. #40AñosDeConstitución #EleccionesYA RT @pablocasado_: En el @PPopular enarbolamos nuestras señas de identidad de siempre y tenemos un proyecto ganador para recuperar la ilusión y el orgullo de ser miembros del mejor partido de España. Gracias por vuestras palabras, recibimiento y afecto. @Congreso_Es #40AñosDeConstitución</t>
  </si>
  <si>
    <t>https://twitter.com/pablocasado_/status/1070714511362002945</t>
  </si>
  <si>
    <t>https://pbs.twimg.com/media/DtvxK3qWoAEVWOK.jpg</t>
  </si>
  <si>
    <t>#Fosfonauta @losfosfonautas y #Fosforo de @HerreraenCOPE @COPE hasta la médula. La radio📻 en mi pasión.</t>
  </si>
  <si>
    <t>Columna Cero</t>
  </si>
  <si>
    <t>https://goo.gl/URx7YP</t>
  </si>
  <si>
    <t>https://pbs.twimg.com/media/DtwlIreU8AApP2X.jpg</t>
  </si>
  <si>
    <t>En Columna Cero los periodistas pueden registrarse y publicar libremente. Y son los lectores los que deciden qué noticias son importantes para ellos.</t>
  </si>
  <si>
    <t>http://columnacero.com</t>
  </si>
  <si>
    <t>Jorge Luis Rosales</t>
  </si>
  <si>
    <t>Lorent se convirtió en una especie de vocero ante organismos que son blandos contra el régimen venezolano. (Osea no hace nada útil) Le pide ayuda Pedro Sanchez, a Bachellet, llama a votar, falta que vaya a denunciar a Maduro ante la Internacional socialista. #bitchplease RT @LORENT_SALEH: Luego de años de trabajo, sacrificio y esfuerzo, ayer tuve la valiosa oportunidad de poder elevar mis denuncias y testimonios sobre las violaciones de #DDHH en Venezuela ante la Alta Comisionada de Derechos Humanos de la ONU, @mbachelet y un equipo de técnicos en diferentes áreas</t>
  </si>
  <si>
    <t>https://twitter.com/LORENT_SALEH/status/1070726556295684096</t>
  </si>
  <si>
    <t>https://pbs.twimg.com/media/Dtv7FQXXgAA1dxH.jpg</t>
  </si>
  <si>
    <t>Arquitecto. Venezolano en Chile. El Liberalismo y joder comunistas es mi nueva obsesión</t>
  </si>
  <si>
    <t>El doctor corta y pega</t>
  </si>
  <si>
    <t>https://amp.20minutos.es/noticia/3510387/0/abucheos-pedro-sanchez-congreso-aniversario-constitucion/</t>
  </si>
  <si>
    <t>A mi no me hace gracia cuando recuerdo el sueldazo q le estamos pagando para un trabajo tan sectario!  RT @jesusmgranada2: Este Tezanos😂😂😂😂😂😂</t>
  </si>
  <si>
    <t>https://www.elespanol.com/espana/20180708/familia-socialista-enchufa-pedro-sanchez-amigos-administracion/320219143_0.html
https://twitter.com/jesusmgranada2/status/1070737821206495232</t>
  </si>
  <si>
    <t>https://pbs.twimg.com/media/DtwGXBsWkAUK4yh.jpg</t>
  </si>
  <si>
    <t>Viriato Votaría VOX. Soy Facha. 🇪🇸🇪🇸🇪🇸🇪🇸</t>
  </si>
  <si>
    <t xml:space="preserve"> BCN </t>
  </si>
  <si>
    <t>Caña al rojo y al separatista. Sin Perdón ni compasión. Son los enemigos de España. Mis amigos de la Policía Federal.</t>
  </si>
  <si>
    <t>https://twitter.com/sanchezcastejon/status/1070667597375553541</t>
  </si>
  <si>
    <t>Pedro Sánchez quiere reformar la Constitución para incluir la igualdad entre hombres y mujeres  vía @flipboard</t>
  </si>
  <si>
    <t>https://pbs.twimg.com/media/DtvEslwXcAENhQJ.jpg</t>
  </si>
  <si>
    <t>http://flip.it/Eudtxu</t>
  </si>
  <si>
    <t>Me ha gustado un vídeo de @YouTube ( - Mensaje a pedro sanchez).</t>
  </si>
  <si>
    <t>http://youtu.be/aQGdsG86_XQ?a</t>
  </si>
  <si>
    <t>LEON_EL_BIERZO</t>
  </si>
  <si>
    <t>APRENDIZA DE LA VIDA</t>
  </si>
  <si>
    <t>http://merianmi.wordpress.com/</t>
  </si>
  <si>
    <t>edelweis</t>
  </si>
  <si>
    <t>#40AñosDeConstitución Sánchez, abucheado durante varios minutos: "¡Convoca elecciones!"  vía @libertaddigital</t>
  </si>
  <si>
    <t>Vasco_astur y español 🇪🇸, con ideas liberales, me gusta la naturaleza, disfrutarla y protegerla. No podemos controlar el viento sin ajustar la velas.</t>
  </si>
  <si>
    <t>Josep Rosell Bruna🎗</t>
  </si>
  <si>
    <t>Operació salvar el soldat Pedro Sánchez</t>
  </si>
  <si>
    <t>http://dlvr.it/Qt0nd8</t>
  </si>
  <si>
    <t>https://pbs.twimg.com/media/DtwjcEpVYAAXb5B.jpg</t>
  </si>
  <si>
    <t>Regidor de @PDemocrataCAT a #Piera. Emprenedor a @catalunyaimpuls. Català, somiador i lluitador. La meva pàtria la vull lliure! Donec perficiam :)</t>
  </si>
  <si>
    <t>http://bit.ly/joseprosell</t>
  </si>
  <si>
    <t>http://dlvr.it/Qt0nbj</t>
  </si>
  <si>
    <t>Le haré una oferta que no podrá rechazar Pedro Sanchez</t>
  </si>
  <si>
    <t>Charming</t>
  </si>
  <si>
    <t>Real Madrid 7 champions + 1 de Europa + 5 torneos de verano =13 champions, Gibraltar es británico y Catalunya es una república, poseo 18 Masters reconstruidos</t>
  </si>
  <si>
    <t>https://www.youtube.com/watch?v=z6pF1CwjKpA</t>
  </si>
  <si>
    <t>TorturoKracia</t>
  </si>
  <si>
    <t>El PSOE de Pedro Sánchez tiene los días contados. Es hora de rascar todo lo que se pueda. El tridente de la derecha española (PP, VOX y Cs) gobernarán España muy pronto....</t>
  </si>
  <si>
    <t>Humming Head</t>
  </si>
  <si>
    <t>Denunciava abusos comesos per l'estat espanyol. Ara intento crear un estat a Catalunya on això no passi amb l'ajuda d'altres http://elblogdecremacatalana.blogspot.com.es</t>
  </si>
  <si>
    <t>http://torturokracia.blogspot.com.es/</t>
  </si>
  <si>
    <t>Manual para Shapeshifters.</t>
  </si>
  <si>
    <t>https://youtu.be/Y34_KPcQ7rU</t>
  </si>
  <si>
    <t>Eusebio Ortiz</t>
  </si>
  <si>
    <t>http://abcblogs.abc.es/cervilla/public/post/pedro-sanchez-o-la-maquina-de-crear-votantes-de-vox-18163.asp/#.XAl-sKIr46c.twitter</t>
  </si>
  <si>
    <t>Texas, USA</t>
  </si>
  <si>
    <t>Camarografo cinematografico. Productor de Television. Nacido en Cuba, hijo adoptivo de Venezuela, ciudadano espanol y orgulloso texano.</t>
  </si>
  <si>
    <t>Iván Fernández</t>
  </si>
  <si>
    <t>chelo romero</t>
  </si>
  <si>
    <t>El verdadero CIS de .@sanchezcastejon : otro espectacular abucheo en el Congreso - ESdiario.</t>
  </si>
  <si>
    <t>Torrejón de Ardoz, España</t>
  </si>
  <si>
    <t>Miembro de NNGG Torrejón. Antiguo estudiante de CCBB en la Complutense de Madrid.</t>
  </si>
  <si>
    <t>Mijas, España</t>
  </si>
  <si>
    <t>Erase una vez ...</t>
  </si>
  <si>
    <t>Furretillo</t>
  </si>
  <si>
    <t>Pedro Sánchez tiene que "tragar" con Susana Díaz pero Pablo Casado también tiene que hacerlo con Moreno Bonilla por mucho que nos cuente que es el gran triunfador de las elecciones andaluzas. ¡Es lo que toca!</t>
  </si>
  <si>
    <t>Furretillo,el azote de los imbéciles.</t>
  </si>
  <si>
    <t>Es muuuuu toooonto o muy malo, quiere abrir el melón para destrozarla volviéndola chavista ?.</t>
  </si>
  <si>
    <t>Ana Maria Vivas</t>
  </si>
  <si>
    <t>He visto esta mañana, en el paripé ese que han hecho en el congreso, que a Pedro Sánchez le han silbado y a Juan Carlos l le han aplaudido. Ya sabes Pedro, si quieres que te aplaudan tienes que ser más corrupto</t>
  </si>
  <si>
    <t>Millán Ruiz</t>
  </si>
  <si>
    <t>Pero entonces el plagio del logo de la peluquería quién lo ha hecho: ¿Podemos o Pedro Sánchez?</t>
  </si>
  <si>
    <t>https://pbs.twimg.com/media/Dtwh7IPXcAMbVyn.jpg</t>
  </si>
  <si>
    <t>Logroño, La Rioja</t>
  </si>
  <si>
    <t>18. Madridista y convencido de mis ideas 🇪🇸 Estudiante de Derecho en la UR. -La gloria me ha tumbado en el segundo asalto-</t>
  </si>
  <si>
    <t>Qué crack Pedro Sánchez que siempre gana las elecciones. ¿Cómo lo hará? 🤔 RT @sextaNoticias: #ÚLTIMAHORA. Sánchez seguiría ganando las elecciones si se realizaran ahora. #TiempoPactosARV</t>
  </si>
  <si>
    <t>Gotham</t>
  </si>
  <si>
    <t>Gatos y política.</t>
  </si>
  <si>
    <t>Pablo García-Mancha</t>
  </si>
  <si>
    <t>La demagogia infinita de Pedro Sánchez no tiene fin: “Los españoles son iguales ante la ley, sin que pueda prevalecer discriminación alguna por razón de nacimiento, raza, sexo, religión, opinión o cualquier otra condición o circunstancia personal o social”. Construcción Española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</si>
  <si>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Logroño-Pamplona-España/Spain</t>
  </si>
  <si>
    <t>Escribo en Diario La Rioja y Diario de Navarra y me podéis ver en TVR. Gastrónomo, flamenco, taurino, vinático</t>
  </si>
  <si>
    <t>https://vimeo.com/166331209</t>
  </si>
  <si>
    <t>pepa vivas</t>
  </si>
  <si>
    <t>Donde lo vas a poner Pedro ?? Eso ya está incluido . Jajajaja tonto del día 😂😂 📢Pedro Sánchez -cum laude- desconoce la Constitución: pide reformarla para incluir la igualdad entre hombres y mujeres  vía @libertaddigital</t>
  </si>
  <si>
    <t xml:space="preserve">#VIVAESPAÑA </t>
  </si>
  <si>
    <t>#España !!! #UE</t>
  </si>
  <si>
    <t>José Zalez</t>
  </si>
  <si>
    <t>https://okdiario.com/espana/2018/12/06/pedro-sanchez-no-forzara-relevo-susana-diaz-dejara-psoe-andaluz-fulmine-3434507#.XAl83GmC6hg.twitter</t>
  </si>
  <si>
    <t>A veces encuentro personas educadas y respetables que modulan mi actitud.</t>
  </si>
  <si>
    <t>VEO, VEO</t>
  </si>
  <si>
    <t>▶️ Abucheos a Pedro Sánchez en su llegada al Congreso  Enviado desde @updayESP</t>
  </si>
  <si>
    <t>DE RIDICULO en RIDICULO.</t>
  </si>
  <si>
    <t>https://pbs.twimg.com/media/DtupI0jW4AAnROH.jpg</t>
  </si>
  <si>
    <t>Pedro Sánchez desconoce la Constitución: pide reformarla para incluir la igualdad entre hombres y mujeres- vía @libertaddigital- Que lea el Art. 14. --El doctor cum fraude no da una....!!!</t>
  </si>
  <si>
    <t>Pedro Sánchez quiere reformar la Constitución para incluir la igualdad entre hombres y mujeres  Vía @eldiarioes</t>
  </si>
  <si>
    <t>http://dlvr.it/Qt0jgl</t>
  </si>
  <si>
    <t>Álvaro Becerra 🇪🇸</t>
  </si>
  <si>
    <t>🔴 Pedro Sánchez no deja de hacer el ridiculo hasta en un día como hoy. Dice cosas que ya están reflejadas en la Constitución. 🇪🇸</t>
  </si>
  <si>
    <t>https://pbs.twimg.com/media/DtwgAWsX4AEn6pa.jpg</t>
  </si>
  <si>
    <t xml:space="preserve">Sevilla - España </t>
  </si>
  <si>
    <t>Liberal, Patriota. Comunicación 2.0 en @PPopular. 💻 Secretario General de NNGG de Alcalá de Gra. Secretario de RRSS de NNGG de Andalucía. ¡Bienvenid@!</t>
  </si>
  <si>
    <t>Y lo que faltaba de as enterado Pedro Sánchez lo que dijo Torras en es lobi Eslovenia que Ania que seguir los pasos como ellos que sinnifica ir al enfrentamiento y este pájaro golpista es el que puso de presidente a Pedro Sánchez demite por el bien de españa Pedro</t>
  </si>
  <si>
    <t>https://twitter.com/voz_populi/status/1070638022801190912
https://buff.ly/2SvLKyu</t>
  </si>
  <si>
    <t>pic.twitter.com/wUKuS8oHy9</t>
  </si>
  <si>
    <t>Pedro Sánchez, aquel que en el mejor de los casos, permanecerá en la historia de España como traidor y amante de los aviones y helicopteros pagados por Españoles.</t>
  </si>
  <si>
    <t>Fran Rodríguez</t>
  </si>
  <si>
    <t>El verdadero CIS de Pedro Sánchez: otro espectacular abucheo en el Congreso  via @ESdiario_com</t>
  </si>
  <si>
    <t>MARACAY24HRS ®</t>
  </si>
  <si>
    <t>Abucheos a Pedro Sánchez, ovaciones al rey emérito... los detalles del acto por los 40 años de la Constitución en el Congreso</t>
  </si>
  <si>
    <t>http://dlvr.it/Qt0kFQ</t>
  </si>
  <si>
    <t>Maracay, Aragua, Venezuela</t>
  </si>
  <si>
    <t>Compartimos todo sobre actividad en la Ciudad Jardín. Síguenos y envía un DM con tu mensaje #Sucesos #NoticiasNacionales #Deportes</t>
  </si>
  <si>
    <t>ᴘᴇᴅʀɪᴛᴏ ᴇʟ ɢᴏʟᴘɪꜱᴛᴀ</t>
  </si>
  <si>
    <t>Fake / Parodia</t>
  </si>
  <si>
    <t>Doctor Fraude // Odio Eterno a la Democracia y a la Separación de Poderes // Antiespañol por los cuatro costados.</t>
  </si>
  <si>
    <t>Pedro Sánchez desconoce la Constitución: pide reformarla para incluir la igualdad entre hombres y mujeres  via @libertaddigital</t>
  </si>
  <si>
    <t>A Fernandez Vara, hay que hacerle un exorcismo, fue poseido por el espiritu de Pedro Sanchez y yá no sabe ni lo que dice. SE NECESITA EXORCISTA CON EXPERIENCIA PARA CASOS GRAVES. Contactar con la Junta de Extremadura Dpto. "Casos raros del PSOE". RT @silviam54397905: Esta imagen de hoy no me cuadra respecto de los tuits de @GFVara de hace tan solo unos meses... Aunque qué tiempos aquellos, verdad?? #PedroYaNoTeQuieren majo!</t>
  </si>
  <si>
    <t>https://twitter.com/silviam54397905/status/1070750854054072321</t>
  </si>
  <si>
    <t>https://pbs.twimg.com/media/DtwSOJ6XgAMyBJ3.jpg</t>
  </si>
  <si>
    <t>Serendipia</t>
  </si>
  <si>
    <t>Dice Pedro Sanchez que quiere una república feminista. Estos cualquier día proponer castrar a todos los hombres y se quedan tan anchos.</t>
  </si>
  <si>
    <t>Licenciada en Historia del Arte, patriota, viajera incansable, aficionada a la fotografia, cocinillas y colchonera. "Por la pena, entra la peste".</t>
  </si>
  <si>
    <t>Las cifras del pánico: así conduce Pedro Sánchez al precipicio a todo el PSOE</t>
  </si>
  <si>
    <t>https://www.youtube.com/attribution_link?a=PxykNcyrWKg&amp;u=%2Fwatch%3Fv%3DUotT0g08oVw%26feature%3Dshare</t>
  </si>
  <si>
    <t>Mª del Mar Sicilia</t>
  </si>
  <si>
    <t>Castelldefels</t>
  </si>
  <si>
    <t>Española, Católica, Perica y del PP... ahí es nada viviendo en Cataluña! Y muy orgullosa de todo ello. Me apasiona la política, el Social Media, leer y escribir</t>
  </si>
  <si>
    <t>VOX Colmenarejo</t>
  </si>
  <si>
    <t>Después, para muchos Vox es extremista. El pueblo tiene que saber quienes son realmente los extremistas, los radicales, los fascistas y estos son socios de Pedro Sanchez. RT @Alternativa_VOX: 📹 Los CDR pretenden reventar una concentración por la unidad de España en Gerona convocada por @vox_es. Cada día es más urgente suspender la autonomía e ilegalizar los partidos separatistas.</t>
  </si>
  <si>
    <t>https://twitter.com/Alternativa_VOX/status/1070630967830855680</t>
  </si>
  <si>
    <t>pic.twitter.com/bUCv22X99W</t>
  </si>
  <si>
    <t>Colmenarejo, Madrid</t>
  </si>
  <si>
    <t>Twitter oficial del partido VOX en Colmenarejo</t>
  </si>
  <si>
    <t>Lomascurioso 🇪🇸</t>
  </si>
  <si>
    <t>Aquí, los socios de Pedro Sanchez, los que defienden la Constitución y a España😡 En Portugal, Alemania, Francia...estos partidos están ilegalizados. En España, donde nos gobierna el frente popular, son lo socios del Gobierno. Demasiado poco nos pasa. RT @Escribano_R: Antifascistas se llaman.</t>
  </si>
  <si>
    <t>Orgulloso de ser del PP, el único q defiende la unidad de España 🇪🇸</t>
  </si>
  <si>
    <t>francisco alcaraz</t>
  </si>
  <si>
    <t>INTENDENTE MERCANTIL, SIN DISCIPLINA DE PARTIDO,VIAJERO,NATURAL DE JOILANDIA , MASTER EN DERECHO TRIBUTARIO Y ASESORIA FISCAL</t>
  </si>
  <si>
    <t>Gabriel jose timaure</t>
  </si>
  <si>
    <t>jerez de la frontera</t>
  </si>
  <si>
    <t>Me gustan el cine, y la musica. no me gustan los que quieren cambiar a las personas para bien o para mal y los que viven prohibiendo, prohibido prohibir.</t>
  </si>
  <si>
    <t>manuel eugenio leal</t>
  </si>
  <si>
    <t>#ZPedro también va a pedir que el sol caliente, no te lo pierdas El #Okupa #CumFraude Sánchez desconoce la #Constitución: pide reformarla para incluir la igualdad entre hombres y mujeres  vía @libertaddigital</t>
  </si>
  <si>
    <t>El mundo,se viaja con un libro</t>
  </si>
  <si>
    <t>#Liberal hasta el tuétano #CdV #LET #Libertario e #Iberista por lo racional Filo #ANCAP #Minarquía Datos históricos no son cuestionables Block manipuladores Hª</t>
  </si>
  <si>
    <t>https://www.facebook.com/LREmprender/</t>
  </si>
  <si>
    <t>Reinvolución</t>
  </si>
  <si>
    <t>Yo, es que a este tío, no le dejaba tocar la Constitución ni con un palo. "Pedro Sánchez desconoce la Constitución: pide reformarla para incluir la igualdad entre hombres y mujeres"  vía @libertaddigital</t>
  </si>
  <si>
    <t>Madrid - Castilla - ESPAÑA</t>
  </si>
  <si>
    <t>El régimen autonómico es el cáncer de España. La ideología de género, un artificio de la izquierda para colectivizar al individuo y regir como debemos pensar</t>
  </si>
  <si>
    <t>http://ver.20m.es/a7toz3</t>
  </si>
  <si>
    <t>https://pbs.twimg.com/media/DtweGkwXgAMbjfe.jpg</t>
  </si>
  <si>
    <t>Angel Pascual</t>
  </si>
  <si>
    <t>Entonces todo apunta a que serán en marzo. Pedro Sánchez descarta elecciones en marzo pero abre la puerta a mayo , por @KettyGarat  via @libertaddigital</t>
  </si>
  <si>
    <t>Arlington, VA (USA)</t>
  </si>
  <si>
    <t>Victoriano Urbina</t>
  </si>
  <si>
    <t>Ahí tienes a ⁦@sanchezcastejon⁩ a cinco minutos de posar con el chapiri</t>
  </si>
  <si>
    <t>https://elnuevopais.net/2018/12/05/pedro-sanchez-a-los-independentistas-les-da-igual-el-modelo-de-estado-quieren-ir-contra-el-ser-de-espana/</t>
  </si>
  <si>
    <t>Nec spe nec metu.</t>
  </si>
  <si>
    <t>🔵🔵🔵 Abucheos y pitos a Pedro Sánchez a las puertas del Congreso, en el homenaje a la Constitución: «!Fuera, fuera!, okupa, hijo...» @sanchezcastejon @PSOE</t>
  </si>
  <si>
    <t>pic.twitter.com/1B12v2Xwc4</t>
  </si>
  <si>
    <t>Mari Carmen Rivero</t>
  </si>
  <si>
    <t>TE QUIERO ESPAÑA MI PATRIA</t>
  </si>
  <si>
    <t>Pedro Sánchez llega entre abucheos al Congreso en el día del 40 aniversario de la Constitución Olé  vía @ABCespana</t>
  </si>
  <si>
    <t>#40AñosDeConstitución El presidente de Gobierno Pedro @sanchezcastejon ha reflexionado sobre la Constitución española, que cumple 40 años, y la necesidad de una reforma para adaptarla a la sociedad y realidad actuales</t>
  </si>
  <si>
    <t>http://ow.ly/KwKL30mTd54</t>
  </si>
  <si>
    <t>https://pbs.twimg.com/media/DtwDexdWwAI_Cf9.jpg</t>
  </si>
  <si>
    <t>juanfrem53</t>
  </si>
  <si>
    <t>¡Por fin lo consiguió!!!, Sánchez acaba de superar a Zapatero en estúpidez e ignorancia... 🤗🤗🤗</t>
  </si>
  <si>
    <t>Demócrata. Contra las mentiras de las izquierdas, nacionalistas e iluminados.</t>
  </si>
  <si>
    <t>kevin mcklein</t>
  </si>
  <si>
    <t>https://www.kevinmcklein.com/abucheos-a-pedro-sanchez-a-su-llegada-al-congreso-y-larga-ovacion-a-los-reyes/</t>
  </si>
  <si>
    <t>https://pbs.twimg.com/media/DtwdtlrVYAADIVL.jpg</t>
  </si>
  <si>
    <t>Rusia</t>
  </si>
  <si>
    <t>http://kevinmcklein.com</t>
  </si>
  <si>
    <t>Al #Okupa ⁦@sanchezcastejon⁩ no le ha gustado el resultado del #2D y ve "más probable" la repetición de #EleccionesAndaluzas Que #Andalucia siga en la ruina antes que el ⁦@PPopular ⁦@CiudadanosCs⁩ y ⁦@vox_es⁩ que la saquen de ella.</t>
  </si>
  <si>
    <t>Ariane</t>
  </si>
  <si>
    <t>https://www.20minutos.es/noticia/3510514/0/pedro-sanchez-andalucia-susana-diaz/</t>
  </si>
  <si>
    <t>Ineptocracia. Pedro Sánchez desconoce la Constitución: pide reformarla para incluir la igualdad entre hombres y mujeres  vía @libertaddigital</t>
  </si>
  <si>
    <t>Jurist. Comité Ejecutivo del Círculo de Mujeres de Negocios.</t>
  </si>
  <si>
    <t>¿Soy yo o no ha habido ni una sóla aparición pública de Pedro Sánchez en la que no haya sido abucheado?</t>
  </si>
  <si>
    <t>Acritor</t>
  </si>
  <si>
    <t>Pedro Sánchez quiere reformar la Constitución para incluir la igualdad entre hombres y mujeres - Y yo que siempre he pensado que ese art. ya está en el art. 14 de la Constitución.</t>
  </si>
  <si>
    <t>https://m.eldiario.es/32458250_843416144/</t>
  </si>
  <si>
    <t>Yayotwittero ft. La Poyuela desarmando el nido que hay montado por aquí.</t>
  </si>
  <si>
    <t>Enrique Aristeguieta</t>
  </si>
  <si>
    <t>Pedro Sánchez es tan torpemente, que logró resucitar a Franco y herir de muerte al PSOE.</t>
  </si>
  <si>
    <t>Dirigente politico y miembro de la Junta Patriotica que lucho contra Perez Jimenez en 1958</t>
  </si>
  <si>
    <t>Que listo el jodio éste... Pedro Sánchez desconoce la Constitución: pide reformarla para incluir la igualdad entre hombres y mujeres  vía @libertaddigital</t>
  </si>
  <si>
    <t>Elena Berberana</t>
  </si>
  <si>
    <t>Periodista en @libertaddigital @libre_mercado Puedes contarme tu historia, aquí: eberberana@libertaddigital.com</t>
  </si>
  <si>
    <t>http://www.libertaddigital.es</t>
  </si>
  <si>
    <t>Alejandra🇪🇸</t>
  </si>
  <si>
    <t>El Boalo, España</t>
  </si>
  <si>
    <t>Tengo que aprender a volar entre tanta gente de pie...</t>
  </si>
  <si>
    <t>Pedro Sánchez, sin ninguna necesidad, permite la realización de un partido de fútbol entres dos equipos argentinos. Según acaba de decir las noticias de la cuatro se deberá hacer el mayor despliegue policial por un partido de fútbol. Ese tío es tonto.</t>
  </si>
  <si>
    <t>https://pbs.twimg.com/media/Dtv9v-kXgAMxAJV.jpg</t>
  </si>
  <si>
    <t>https://www.20minutos.es/noticia/3510387/0/abucheos-pedro-sanchez-congreso-aniversario-constitucion/?utm_source=twitter.com&amp;utm_medium=socialshare&amp;utm_campaign=desktop</t>
  </si>
  <si>
    <t>todos vimos en toda españa que en el 1 intento de pedro sanchez de echar a Rajoy el coletas le pidió controlar el cni la policía el ejercito sabéis porque para controlarnos a todos como maduro en Venezuela pedro sanchez a dicho de quitar la inviolabilidad al rey</t>
  </si>
  <si>
    <t>Eloy Castro</t>
  </si>
  <si>
    <t>Alguien percibe la diferencia de titulares? - Escrache de independentistas violentos para recibir a Albert Rivera. - Pedro Sánchez ha sido recibido con abucheos. Los grandes medios de comunicación sois el cáncer de este país.</t>
  </si>
  <si>
    <t>Pamplona - Iruñea</t>
  </si>
  <si>
    <t>En desacuerdo constante con el mundo...</t>
  </si>
  <si>
    <t>Jorge Vilches</t>
  </si>
  <si>
    <t>Art. 14 de la CE: "Los españoles son iguales ante la ley, sin que pueda prevalecer discriminación alguna por razón de nacimiento, raza, SEXO". Pedro Sánchez es Presidente del Gobierno. 🙄</t>
  </si>
  <si>
    <t>https://pbs.twimg.com/media/DtwbdYTW0Ac3vKm.jpg</t>
  </si>
  <si>
    <t>Politólogo. Historiador. Profesor UCM. Escribo en @larazon_es @elespanolcom @voz_populi @Disidentia Hablo en @HerreraenCope Coautor #ContraLaSocialdemocracia</t>
  </si>
  <si>
    <t>Gobierno Prov Manabí</t>
  </si>
  <si>
    <t>Este trabajo vial tiene un avance del 75 %, y; favorecerá a las comunidades 12 hermanos, Las Mercedes, Playones, El Palmar, La Cevallos y Suma Sánchez de la parroquia San Pedro de Suma del cantón El Carmen.</t>
  </si>
  <si>
    <t>https://pbs.twimg.com/media/DtvCv7DXQAAhRZf.jpg</t>
  </si>
  <si>
    <t>https://pbs.twimg.com/media/DtwbU3WXcAU_tyU.jpg</t>
  </si>
  <si>
    <t>Manabí-Ecuador</t>
  </si>
  <si>
    <t>Cuenta oficial del Gobierno Provincial de Manabí. Tierra con potencial productivo y humano.Provincia que forja su desarrollo, en unidad de sus habitantes</t>
  </si>
  <si>
    <t>http://www.manabi.gob.ec</t>
  </si>
  <si>
    <t>como si la mayoría de españoles no hubiéramos visto y padecido el daño que hizo zapatero y ahora pedro sanchez con podemos y en el telediario de 4 y de la 6 nos dicen que debíamos aplaudirlos manda huevos por eso si nos descuidamos romperán nuestro país</t>
  </si>
  <si>
    <t>Gorka Landaburu</t>
  </si>
  <si>
    <t>"Seísmo electoral en Andalucía" La sorprendente y preocupante irrupción de Vox tiene que hacer reflexionar a todos los partidos. También Pedro Sanchez debería tomar buena nota.Mi videoblog vía @cambio15.  vía @YouTube</t>
  </si>
  <si>
    <t>https://youtu.be/sG_u7-0Kg-A</t>
  </si>
  <si>
    <t>Zarautz,Madrid y Paris.</t>
  </si>
  <si>
    <t>Presidente y director de Cambio16, Vasco, francés y español, sufridor de dos dictaduras Franco y ETA: Optimista incorregible.</t>
  </si>
  <si>
    <t>Pedro Sánchez, doctor fraude y presidente sin pasar por las urnas, aún no sabe que la igualdad entre hombres y mujeres está garantizada en la Constitución. Éste es el nivel señores, vergüenza es poco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</si>
  <si>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Vicky si es si</t>
  </si>
  <si>
    <t>Vamos a ver según usted que tiene miedo el presidente? Yo soy socialista, y no insulte ni menosprecie a Rajoy ni a Aznar, (y tela) si no le gusta, tendrá que hacer como yo esperar a que haya un cambio. Pedro Sánchez es su presidente te guste o no RT @Murga_67: @PowerCaballero @ManuelaSesIlles @sanchezcastejon @vox_es Que pinga las urnas de una puta vez, que no engañe a los españoles, que no sea un puto cobarde que tiene miedo a la voz de sus ciudadanos ni a las urnas. Lo dicho, siga hablando, a partir de ahora esta silenciada. Paso de dictadorzuelas en redes sociales como uds</t>
  </si>
  <si>
    <t>https://twitter.com/Murga_67/status/1070751882858115072</t>
  </si>
  <si>
    <t>Mairena del Aljarafe, España</t>
  </si>
  <si>
    <t>Yo con Pedro ⭕Presidente⭕ Universitaria por curiosidad. Socialista por convicción actualmente feliz 😊 (Ah, se me olvidó decir q soy del Betis manquepierda)</t>
  </si>
  <si>
    <t>http://dlvr.it/Qt0f0R</t>
  </si>
  <si>
    <t>https://pbs.twimg.com/media/DtwaJt2U4AABFjF.jpg</t>
  </si>
  <si>
    <t>https://twitter.com/Angelcostalero/status/1070683521218461697</t>
  </si>
  <si>
    <t>https://pbs.twimg.com/media/DtvUuX1W0AAjqlN.jpg</t>
  </si>
  <si>
    <t>Viendo el "trabajo" de Tezanos, ¿no será que lo que pretende es cagarse a Pedro Sánchez?😇😇😇</t>
  </si>
  <si>
    <t>también desde algunas televisiones comunistas como por ejemplo hoy en 4 en el telediario de las 9 el presentador dijo que los que pitaron a zapatero y a pedro sanchez solo querían una constitución de derechas como si fuéramos anticonstitucionales en la sexta igual</t>
  </si>
  <si>
    <t>El pueblo habla 🙏 Abucheos a Pedro Sánchez a su llegada al Congreso y larga ovación a los reyes  vía @20m</t>
  </si>
  <si>
    <t>jc</t>
  </si>
  <si>
    <t>http://chng.it/mZSy9Y4b</t>
  </si>
  <si>
    <t>Ejerzo de jubilado. me gusta la economía y el derecho. Por una Tabarnia libre.</t>
  </si>
  <si>
    <t>Diuen Diuen Diuen..</t>
  </si>
  <si>
    <t>Y le ha dicho que cobra 140.000 eu al año? 50.000 más que Pedro Sánchez? Y que tiene el control de una Policía? Y que tiene el control de las prisiones? Curioso, no?</t>
  </si>
  <si>
    <t>https://politica.e-noticies.es/torra-busca-en-europa-una-salida-al-proceso-121178.html</t>
  </si>
  <si>
    <t>Complace más la gloria cuando se ha sufrido tanto para alcanzarla</t>
  </si>
  <si>
    <t>"¿Quién es realmente el presidente del Gobierno?", resolvemos la duda en @El_Intermedio</t>
  </si>
  <si>
    <t>http://atres.red/0sseh8</t>
  </si>
  <si>
    <t>https://pbs.twimg.com/media/DtwZHzMWsAAh18L.jpg</t>
  </si>
  <si>
    <t>Encarnita</t>
  </si>
  <si>
    <t>Granadina, jubilada y me encanta la vida!!!</t>
  </si>
  <si>
    <t>Jaume Ors .Ñ.🇪🇸</t>
  </si>
  <si>
    <t>▶️ Abucheos a Pedro Sánchez en su llegada al Congreso.  Enviado desde @updayESP</t>
  </si>
  <si>
    <t>Es la hora de #España. NUESTRA INDESTRUCTIBLE ESPAÑA. Se acabó el tiempo del respeto al comunismo y al separatismo. #patriotismo #VOX #stopislam #misbanderas</t>
  </si>
  <si>
    <t>Estas cosas de cara a la galería son las que hace que la gente se distancie cada vez más de la política. Que va a lograr que esté en la constitución si después no se legisla para que por ejemplo haya mujeres en los puestos de dirección de las empresas?</t>
  </si>
  <si>
    <t>Alfredo Perdiguero M. 🇪🇸</t>
  </si>
  <si>
    <t>Un ZASCA en toda regla por no saberse la Constitución en su 40 aniversario, a Pedro Sánchez o al Presidente del Gobierno, que no se quien de los dos lo ha dicho. RT @CriticoJM: ¯\_(ツ)_/¯</t>
  </si>
  <si>
    <t>Subinspector de Policía Nacional. Luchando por una Policía más justa y contra tanta injusticia.</t>
  </si>
  <si>
    <t>http://www.sipepol.es</t>
  </si>
  <si>
    <t>Valentin Iglesias</t>
  </si>
  <si>
    <t>Si, 79 minutos pueden golpear tu tímpano para despertar y actuar @elproxeneta @NuestraEsLaPrimavera Pedro Sánchez: 79 minutos contra la Trata  vía @change_es</t>
  </si>
  <si>
    <t>https://www.change.org/p/pedro-s%C3%A1nchez-pedro-s%C3%A1nchez-79-minutos-contra-la-trata?recruiter=921650725&amp;utm_campaign=signature_receipt&amp;utm_medium=twitter&amp;utm_source=share_petition</t>
  </si>
  <si>
    <t>Zafra, España</t>
  </si>
  <si>
    <t>Educador social, educación como resistencia</t>
  </si>
  <si>
    <t>francisco jose marqu</t>
  </si>
  <si>
    <t>Pedro Sánchez presentará los presupuestos en busca del apoyo de ERC y PDECat</t>
  </si>
  <si>
    <t>http://flip.it/dMTda2</t>
  </si>
  <si>
    <t>Esto tenéis que leerlo, y pasarlo es una carta de Eta. Compartirlo este si lucho de verdad, donde estaba Pablo Iglesia y Pedro Sánchez.</t>
  </si>
  <si>
    <t>https://www.instagram.com/p/BrDp3WxA8-9/?utm_source=ig_twitter_share&amp;igshid=cnu18brzg0c1</t>
  </si>
  <si>
    <t>Xarxa Indepe🎗</t>
  </si>
  <si>
    <t>Sánchez aleja el calendario electoral y pedirá una reunión con Torra el 21-D  #RepublicaCatalana #ProuFeixisme #Independencia #NoaTot #LlibertatPresosPolitics #Girona #Barcelona #Catalunya #Lleida #Tarragona #Valencia #Mallorca #Castello #Alacant #Elx</t>
  </si>
  <si>
    <t>Xarxa transversal, pacifista i democràtica per la independència de Catalunya, Balears, Occitània i País Valencià #RepublicaCatalana #FreeCatalonia #Stopfascism</t>
  </si>
  <si>
    <t>Enrique Schez.-Guijo</t>
  </si>
  <si>
    <t>Pedro Sánchez llega entre abucheos al Congreso en el día del 40 aniversario de la Constitución</t>
  </si>
  <si>
    <t>https://www.abc.es/espana/abci-pedro-sanchez-llega-entre-abucheos-congreso-40-aniversario-constitucion-201812061227_noticia.html</t>
  </si>
  <si>
    <t>Bejarano, salmantino, español y europeo. Economista y deportista. Concejal de #Economía, #Empleo y #Deportes del @aytosalamanca</t>
  </si>
  <si>
    <t>http://www.aytosalamanca.es</t>
  </si>
  <si>
    <t>Pedro Sánchez y sus 'monaguillos' léase #GobiernoPodrido . Han venido a cargarse España. Así de sencillo.</t>
  </si>
  <si>
    <t>Sara Elvira Ibarz So</t>
  </si>
  <si>
    <t>Violeta Rivera Lopez</t>
  </si>
  <si>
    <t>La Constitución como herramienta de progreso  vía @20m</t>
  </si>
  <si>
    <t>https://www.20minutos.es/opiniones/pedro-sanchez-constitucion-herramiento-progreso-3508547/?utm_source=twitter.com&amp;utm_medium=socialshare&amp;utm_campaign=desktop</t>
  </si>
  <si>
    <t>Calpe, Comunidad Valenciana</t>
  </si>
  <si>
    <t>Alcaldesa de Calpe desde 1987 al 1995 por el PSOE</t>
  </si>
  <si>
    <t>#Opinión ✏️ Cuarenta años de progreso, por @sanchezcastejon</t>
  </si>
  <si>
    <t>http://lrzn.es/ktuba3</t>
  </si>
  <si>
    <t>https://pbs.twimg.com/media/Dtvu4A2XcAU3ofU.jpg</t>
  </si>
  <si>
    <t>AntDiazBarrantes 🇪🇸</t>
  </si>
  <si>
    <t>Sánchez enfría el adelanto inminente: "En marzo seguiremos trabajando y gobernando" . Y los mayores de 50 años que han dedicado su vida al trabajo y qué ahora no tienen trabajo por tener demasiada edad. Qué pasará con ellos....</t>
  </si>
  <si>
    <t>La libertad de expresión, la mejor forma de libertad.</t>
  </si>
  <si>
    <t>Jorge George</t>
  </si>
  <si>
    <t>Esto quién lo dice? ¿el CIS, el presidente @sanchezcastejon , O el paisano @sanchezcastejon ?</t>
  </si>
  <si>
    <t>Coruña</t>
  </si>
  <si>
    <t>Editora Girón</t>
  </si>
  <si>
    <t>#EditoraGiron #Matanzas La silla de Maceo regresa a la ciudad de La Habana para su exposición». Esto fue posible a través del presidente de España, Pedro Sánchez. @DiazCanelB @Granma_Digital @CubaMINREX</t>
  </si>
  <si>
    <t>https://pbs.twimg.com/media/DtwWHblVAAAMlYv.jpg</t>
  </si>
  <si>
    <t>Cuba</t>
  </si>
  <si>
    <t>La información precisa del acontecer de #Matanzas, #Cuba y un poco más allá...</t>
  </si>
  <si>
    <t>http://www.giron.cu</t>
  </si>
  <si>
    <t>Pedro Sánchez quiere reformar la Constitución para incluir la igualdad entre hombres y mujeres , en tendencia viral desde December 06, 2018 at 07:32PM</t>
  </si>
  <si>
    <t>http://bit.ly/2Sy5a5U</t>
  </si>
  <si>
    <t>El PSOE seguiría siendo la fuerza más votada en unas hipotéticas elecciones generales, según el #CIS. Con un 31,2% de los votos el partido de Pedro Sánchez dominaría la política en España</t>
  </si>
  <si>
    <t>http://ow.ly/HXnv30mTeZH</t>
  </si>
  <si>
    <t>https://pbs.twimg.com/media/DtwV6kQXcAIpHPP.jpg</t>
  </si>
  <si>
    <t>Pedro Sánchez quiere reformar la Constitución para incluir la igualdad entre hombres y mujeres -</t>
  </si>
  <si>
    <t>https://xn--apa-6ma.es/pedro-sanchez-quiere-reformar-la-constitucion-para-incluir-la-igualdad-entre-hombres-y-mujeres/</t>
  </si>
  <si>
    <t>https://pbs.twimg.com/media/DtwVz8UWwAAbyQw.jpg</t>
  </si>
  <si>
    <t>si la regulación de la #corona no fuera machista ahora tendríamos una diarquía con un #rey emérito y una reina.</t>
  </si>
  <si>
    <t>JESUS ROMERO</t>
  </si>
  <si>
    <t>BARCELONA</t>
  </si>
  <si>
    <t>Tecnico electricista industrial.</t>
  </si>
  <si>
    <t>Presidente Madelman</t>
  </si>
  <si>
    <t>Pedro Sánchez no sólo ha copiado su tesis, también a Carmen Calvo:  y  RT @mejoreszasca: Zasca!!!!!!!!!! de @diostuitero a @sanchezcastejon . Vía @HotelTabarnia</t>
  </si>
  <si>
    <t>https://okdiario.com/espana/2018/07/18/carmen-calvo-constitucion-lenguaje-inclusivo-rae-2682248
https://www.huffingtonpost.es/2018/07/18/carmen-calvo-las-mujeres-no-tenemos-por-que-reconocernos-en-el-masculino-de-la-constitucion_a_23484312/
https://twitter.com/mejoreszasca/status/1070752665037103105</t>
  </si>
  <si>
    <t>Blog satírico. Tuits con comillas escritos por el Madelman en persona. Los demás, de mi cosecha.</t>
  </si>
  <si>
    <t>Las cifras del pánico: así conduce @sanchezcastejon al precipicio a todo el @PSOE  vía @ESdiario_com</t>
  </si>
  <si>
    <t>https://pbs.twimg.com/media/DtwVA7RVsAAaozT.jpg</t>
  </si>
  <si>
    <t>Sánchez borra de su CV el doctorado obtenido en una elitista universidad privada  via @Noticiero Universal</t>
  </si>
  <si>
    <t>https://noticierouniversal.com/destacadas/pedro-sanchez-borra-su-doctorado/</t>
  </si>
  <si>
    <t>El PSOE quiere atarle las manos a Pedro Sánchez 🗣️ Representatividad, 🔊 REPÚBLICA EN POTENCIA,</t>
  </si>
  <si>
    <t>https://goo.gl/3vcmVH?mxe62=2667878735</t>
  </si>
  <si>
    <t>Argos</t>
  </si>
  <si>
    <t>Lo de Vox es solo una moda decían en Late Motiv Abucheos a Pedro Sánchez a su llegada al Congreso y larga ovación a los reyes</t>
  </si>
  <si>
    <t>https://www.20minutos.es/noticia/3510387/0/abucheos-pedro-sanchez-congreso-aniversario-constitucion/?utm_source=Facebook-20minutos&amp;utm_medium=Social&amp;utm_campaign=Postlink</t>
  </si>
  <si>
    <t>Pere Nubiola Radigales</t>
  </si>
  <si>
    <t>Lo dice el veleta de @sanchezcastejon que prometió la derogación de la reforma laboral, la ley mordaza, y el diálogo para solucionar el problema catalán. No las ha derogado y el dialogo lo ha cambiado nombrando una @fiscal_es... vía @elnacionalcat_e</t>
  </si>
  <si>
    <t>El verdadero CIS de Pedro Sánchez no es el de José Félix Tezanos, militante del PSOE, que le da do...</t>
  </si>
  <si>
    <t>http://www.elnacional.cat/es/politica/pedro-sanchez-partidos-independentistas_332241_102.html</t>
  </si>
  <si>
    <t>http://copiajuridica.es/2018/12/06/el-verdadero-cis-de-sanchez-espectacular-abucheo-en-el-congreso-y-aplausos-a-rajoy-y-a-felipe</t>
  </si>
  <si>
    <t>INFH NDPNTSM 061218195156 Pedro Sánchez quiere reformar la Constitución para incluir la igualdad entre hombres y mujeres</t>
  </si>
  <si>
    <t>"Fuera, fuera": pitos y abucheos a Pedro Sánchez a su llegada al Congreso para el acto del Día de la Constitución  Vía @eldairioes</t>
  </si>
  <si>
    <t>https://pbs.twimg.com/media/DtwTj0fWsAAyNvf.jpg</t>
  </si>
  <si>
    <t>http://dlvr.it/Qt0Wzq</t>
  </si>
  <si>
    <t>https://pbs.twimg.com/media/DtwTgkrU8AAq5mp.jpg</t>
  </si>
  <si>
    <t>Lo que tiene que hacer ⁦⁦este tío⁩ es convocar elecciones. Fue elegido como único modo de echar a Rajoy y ahora abusa para hacerse una legislatura entera. Como si te subes a un coche en el concesionario para probarlo y te largas con él de viaje.</t>
  </si>
  <si>
    <t>Pedro Sánchez Castejón @sanchezcastejon MENTIROSO NACIONAL</t>
  </si>
  <si>
    <t>pic.twitter.com/bzYg8AD6NQ</t>
  </si>
  <si>
    <t>Rosa Mª Padilla ♀</t>
  </si>
  <si>
    <t>Pedro Sánchez: Pedro Sánchez: 79 minutos contra la Trata y la explotación sexual - ¡Firma la petición!  vía @change_es</t>
  </si>
  <si>
    <t>http://chng.it/F6ZvXjYJ</t>
  </si>
  <si>
    <t>Publicista, Madre, Feminista, Autodidacta, Polifacética, Excéntrica, Republicana. De Mente muy inquieta. Mi pasión Escribir. Busco un Mundo Apto para ser Feliz.</t>
  </si>
  <si>
    <t>http://www.transcendenciasydescendencias.blogspot.com</t>
  </si>
  <si>
    <t>F. Prado Alberdi</t>
  </si>
  <si>
    <t>Gijón (Asturias), España</t>
  </si>
  <si>
    <t>Metalúrgico, ahora jubilado. Sindicalista, ahora emérito. Presido una Fundación Cultura de CC. OO. de Asturias.</t>
  </si>
  <si>
    <t>http://pradoalberdi.wordpress.com/</t>
  </si>
  <si>
    <t>LaP***Realidad</t>
  </si>
  <si>
    <t>Yo creo que @sanchezcastejon no sabe ya no en que dirección debe ir, la salida es la más directa #FelizJueves #40anosdeconstitucion Pedro Sánchez: “A los independentistas les da igual el modelo de Estado, quieren ir contra el ser de España” -</t>
  </si>
  <si>
    <t>Es lo que tiene la ignorancia, que es muy atrevida. Se ve que Pedro Sánchez no se ha leído la Constitución y en concreto el artículo 14. La igualdad ante la ley significa igualdad en derechos y en obligaciones. 🤔🤨🙄. Tu rollo friendly feminista de boquilla ya está muy visto.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</si>
  <si>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Maria la Misma</t>
  </si>
  <si>
    <t>De las mejores iniciativas! #Adelante</t>
  </si>
  <si>
    <t>https://m.eldiario.es/politica/Pedro-Sanchez-reforma-Constitucion-igualdad_0_843416144.html#click=https://t.co/sGxnKAz6EQ</t>
  </si>
  <si>
    <t>Hay que cuidar el interior, tanto como el exterior, porque todo es uno.</t>
  </si>
  <si>
    <t>Javier Pérez</t>
  </si>
  <si>
    <t>Es curioso, porque el artículo 14 de la Constitución dice esto: "LOS ESPAÑOLES SON IGUALES ANTE LA LEY, sin que pueda prevalecer discriminación alguna por razón de nacimiento, raza,...</t>
  </si>
  <si>
    <t>¡Cada día es único e irrepetible! | #eCommerce #Consultant #WebDeveloper | #LAMP #Magento #WordPress #Linux</t>
  </si>
  <si>
    <t>http://javierperez.com</t>
  </si>
  <si>
    <t>Anna Prats</t>
  </si>
  <si>
    <t>¿Igualdad con los hombres sin derrumbar el sistema patriarcal? No sé yo, Rick 🤔</t>
  </si>
  <si>
    <t>Viva la figa</t>
  </si>
  <si>
    <t>Periodista | Feminista radical de la diferencia, antirracista y anticapitalista | He colaborado con @kamchatka_es; @diario_16 y @TFeminista_</t>
  </si>
  <si>
    <t>http://Instagram.com/annaprats</t>
  </si>
  <si>
    <t>Paco Bardes Panyagua</t>
  </si>
  <si>
    <t>DelMundo</t>
  </si>
  <si>
    <t>Antifascista. Republicano. El que quiera Iglesia que se la pague. las verdades NO las cuentan quienes nos mienten.</t>
  </si>
  <si>
    <t>http://contracobardes.blogspot.com.es/?m=1</t>
  </si>
  <si>
    <t>chechu_valbuena</t>
  </si>
  <si>
    <t>Pedro Sánchez aleja la posibilidad de elecciones en marzo: “Seguiremos gobernando” -</t>
  </si>
  <si>
    <t>Periodista. Autor de El último duelo y coautor de Héroes de Papel y de Semillas de ceniza</t>
  </si>
  <si>
    <t>http://elblogdechechu.wordpress.com</t>
  </si>
  <si>
    <t>artistamiyares: PEDRO SÁNCHEZ ALEJA LA POSIBILIDAD DE ELECCIONES E...</t>
  </si>
  <si>
    <t>https://blogmiyares.blogspot.com/2018/12/pedro-sanchez-aleja-la-posibilidad-de.html?spref=tw</t>
  </si>
  <si>
    <t>Laia Facet</t>
  </si>
  <si>
    <t>¿Significa que va a derogar el art135 que supedita las condiciones de vida a la deuda? ¿Depurar el aparato judicial del machismo? ¿Acabar con la ley de Extranjería que ampara la persecución y vulneración de miles de mujeres?</t>
  </si>
  <si>
    <t>"Somos lo que hacemos para cambiar lo que somos" Galeano | @anticapiCat #feminista</t>
  </si>
  <si>
    <t>🇪🇸🇪🇸España por bandera 🇪🇸🇪🇸</t>
  </si>
  <si>
    <t>Pero eso sí...... Que se vaya Susana</t>
  </si>
  <si>
    <t>Sí eres español estamos juntos. No es tiempo de partidismos, sino de unidad. Ya habrá tiempo para los matices. Necesitamos estar más unidos que nunca hermanos</t>
  </si>
  <si>
    <t>Antonio Naranjo</t>
  </si>
  <si>
    <t>En el centro, de España</t>
  </si>
  <si>
    <t>Periodista y consultor. Hago editoriales en @ESdiario_com. Naranjo III en @herreraencope. En @EspejoPublico y @ElCascabelTRECE. Fui profesor en la Carlos III.</t>
  </si>
  <si>
    <t>https://www.esdiario.com/secciones/1/89/autor/autores.html</t>
  </si>
  <si>
    <t>Cuando le han abucheado 🤦a las puertas del Congreso, ¿se le ha quedado la cara, como a su mentor Rodríguez Zapatero, cuando le abucheaban🤦 en los desfiles, o me lo ha parecido?&gt;&amp;gt;¿ Sánchez✈️, Doctor, ✈️es Rodríguez Zapatero II?</t>
  </si>
  <si>
    <t>Alimenta a un monstruo y acabará devorandote...mira que es fácil. Pero Pedro Sánchez no se entera. Y la violencia...siempre los mismos.🤔🤨😡 RT @InLibertatem: Los CDR planean colapsar Cataluña para recibir a Sánchez y los ministros el 21-D. Organizan a través de canales de Telegram el bloqueo de carreteras, puertos y aeropuertos e invocan a los chalecos amarillos franceses.</t>
  </si>
  <si>
    <t>https://twitter.com/InLibertatem/status/1070745702421151747
https://www.libertaddigital.com/espana/2018-12-06/los-cdr-planean-colapsar-cataluna-para-recibir-a-sanchez-y-los-ministros-el-21-d-1276629502/</t>
  </si>
  <si>
    <t>PEDRO SANCHEZ DESPUES DEL RIDICULO CORRIDO EN EL PASADO BESAMANOS.....ANTE DE HOY HA SOMETIDO A UN DURO ENTRENAMIENTO PARA QUE NI EL NI LA BEGO LE QUITARAN EL SITO AL JEFE DEL ESTADO Y ESPOSA.....ADEMAS AMBOS EL JEFE DEL ESTADO Y SU ESPOSA.ADVERTIDOS DEL PELIGRO HAN LLEGADO UNA</t>
  </si>
  <si>
    <t>Pedro Sánchez (@sanchezcastejon) recibe abucheos a su llegada y salida del homenaje a la Constitución #40AñosDeConstitución #DiaDeLaConstitucion</t>
  </si>
  <si>
    <t>pic.twitter.com/xKaiKd2kKQ</t>
  </si>
  <si>
    <t>Ultimate Survivor</t>
  </si>
  <si>
    <t>¿EL ARTICULO CATORCE, MANAZAS HIPERACTIVO?</t>
  </si>
  <si>
    <t>https://lee.eldiario.es/ps</t>
  </si>
  <si>
    <t>死肉</t>
  </si>
  <si>
    <t>Local Asshole Studies Law</t>
  </si>
  <si>
    <t>Maria Jesus Pellejer</t>
  </si>
  <si>
    <t>Dr @sanchezcastejon, @vox_es radicaliza al @PPopular de la misma forma que @ahorapodemos le radicalizó a usted y al @PSOE?</t>
  </si>
  <si>
    <t>https://www.lavanguardia.com/politica/20181206/453397537702/pedro-sanchez-elecciones-reunion-quim-torra-21-de-diciembre.html?utm_source=webpush&amp;utm_medium=notification&amp;utm_campaign=ultima_hora,politica&amp;utm_content=sanchez_aleja_el_calendario_electoral_y_pedira_una_reunion_con_torra_el_21-d&amp;utm_term=20181206&amp;utm_campaign=botones_sociales&amp;utm_medium=social&amp;utm_source=twitter</t>
  </si>
  <si>
    <t>Afectados por #Afinsa y Fórum Filatélico abuchean a Pedro Sánchez...</t>
  </si>
  <si>
    <t>Sánchez rechaza convocar elecciones en marzo e insinúa que tampoco las habrá en mayo  vía @laSextaTV</t>
  </si>
  <si>
    <t>http://j.mp/2RzEmlP</t>
  </si>
  <si>
    <t>Fernando Carmona Monserrat</t>
  </si>
  <si>
    <t>Un aniversario con pitada, ovación a los reyes y desacuerdo sobre el futuro</t>
  </si>
  <si>
    <t>http://www.eleconomista.es/politica/noticias/9566705/12/18/Gran-pitada-a-Pedro-Sanchez-a-las-puertas-del-Congreso-en-el-aniversario-de-la-Constitucion.html</t>
  </si>
  <si>
    <t>https://pbs.twimg.com/media/DtwP62XXcAABLQx.jpg</t>
  </si>
  <si>
    <t>Economista y profesor mercantil.</t>
  </si>
  <si>
    <t>Yo diría "tragame tierra" con tantos abucheos 📣📣📢📢🏃🏃🏃🏃🏃🏃</t>
  </si>
  <si>
    <t>http://dlvr.it/QsymfF</t>
  </si>
  <si>
    <t>PSOEBarajas</t>
  </si>
  <si>
    <t>Te dejamos la entrevista de Pedro Sánchez con motivo de #40AñosDeConstitución</t>
  </si>
  <si>
    <t>c/Alar del Rey 17</t>
  </si>
  <si>
    <t>Agrupación Socialista de Barajas</t>
  </si>
  <si>
    <t>http://www.psoe-barajas.org</t>
  </si>
  <si>
    <t>Henry Ettinghausen</t>
  </si>
  <si>
    <t>"Pedro Sánchez quiere reformar la Constitución para incluir la igualdad entre hombres y mujeres" (elDiario, 6/12/18). Potser sí que la Constitució està una miqueta antiquada.</t>
  </si>
  <si>
    <t>ORLANDO GUIOMAR</t>
  </si>
  <si>
    <t>Pedro Sánchez se ha dado un baño de abucheos nada más llegar al Congreso. Gritos de fuera y pitidos para el presidente que eso sí, no han borrado la sonrisa de su cara. De los abucheos a la ovación para...</t>
  </si>
  <si>
    <t>http://cadenaser.com/ser/2018/12/06/politica/1544109884_146416.html</t>
  </si>
  <si>
    <t>NO SOY BORDE, SOY DE SIMPATÍA SELECTIVA</t>
  </si>
  <si>
    <t>https://www.facebook.com/PoderGris.luissosa.orlandoguiomar/</t>
  </si>
  <si>
    <t>Emily Habsburg</t>
  </si>
  <si>
    <t>Pánico en el PSOE: barones y alcaldes piden a Pedro Sanchez elecciones en Marzo para evitar la sangría de un superdomingo en Mayo - Libertad Digital</t>
  </si>
  <si>
    <t>https://www.libertaddigital.com/espana/2018-12-05/panico-en-el-psoe-barones-y-alcaldes-piden-elecciones-en-marzo-para-evitar-la-sangria-de-un-superdomingo-1276629445/</t>
  </si>
  <si>
    <t>Vienna-Marbella (AUT-ESP)</t>
  </si>
  <si>
    <t>♔🇦🇹INDIVISIBILITER AC INSEPARABILITER🇪🇸♔ #History #Liberal #WesternCivilization #AEIOU #WakeUpEurope #StopIslamicFascism ن🇪🇺🇮🇱☤</t>
  </si>
  <si>
    <t>🎥 El presidente del Gobierno, recibido con gritos de "fuera, fuera" en el acto por el 40º aniversario de la Constitución Española 👇  #40AñosDeConstitución #DíaDeLaConstitución</t>
  </si>
  <si>
    <t>http://bit.ly/2UnsVPO</t>
  </si>
  <si>
    <t>https://pbs.twimg.com/media/Dtu8JLUXQAAcbPg.jpg</t>
  </si>
  <si>
    <t>Abucheos a Pedro Sánchez  vía @elmundoes #40AñosDeConstitucion @sanchezcastejon EL PRESIDENTE MAS ODIADO Y SOLO EN 7 MESES</t>
  </si>
  <si>
    <t>Abucheos a Pedro Sánchez  vía @elmundoes #40AñosDeConstitucion @sanchezcastejon VETE YA SINVERGUENZA @PSOE</t>
  </si>
  <si>
    <t>Sobradesope</t>
  </si>
  <si>
    <t>En @elconfidencial: Pedro Sánchez ‘esconde’ que fue consejero de la Asamblea de Caja Madrid con Blesa</t>
  </si>
  <si>
    <t>https://www.elconfidencial.com/espana/2014-07-10/pedro-sanchez-esconde-que-fue-consejero-de-la-asamblea-de-caja-madrid-con-blesa_159568/?utm_source=twitter&amp;utm_medium=social&amp;utm_campaign=BotoneraWeb</t>
  </si>
  <si>
    <t>Alvaro Gotxi</t>
  </si>
  <si>
    <t>No estoy de acuerdo con Pedro Sánchez, ni cómo ha llegado al Gobierno ni cómo gobierna, pero este nivel de odio, de gritos... También me preocupa que un partido político cuando pierde en las urnas salga a la calle a imponer su versión de la historia. Deberíamos reflexionar. RT @eldiarioes: 📺 VÍDEO | Pedro Sánchez, recibido con abucheos a su llegada al Congreso para el acto del Día de la Constitución</t>
  </si>
  <si>
    <t>https://twitter.com/eldiarioes/status/1070725808480755712
https://www.eldiario.es/politica/Pedro-Sanchez-Congreso-Dia-Constitucion_0_843415844.html</t>
  </si>
  <si>
    <t>https://pbs.twimg.com/media/Dtv1QAQXcAA30IP.jpg</t>
  </si>
  <si>
    <t>1. m.Ciudadano de Getxo 2. m.Firmo lo que escribo 3. pl. Ante todo mucho respeto por muy diferentes que seamos.</t>
  </si>
  <si>
    <t>https://okdiario.com/espana/2018/12/06/pedro-sanchez-no-forzara-relevo-susana-diaz-dejara-psoe-andaluz-fulmine-3434507?utm_campaign=newsletter-6-diciembre&amp;utm_medium=email&amp;utm_source=acumbamail</t>
  </si>
  <si>
    <t>http://tinyurl.com/yd5gkqqh
https://www.elespanol.com/espana/politica/20181206/abucheos-pitos-pedro-sanchez-puertas-congreso/358714535_0.html</t>
  </si>
  <si>
    <t>ljcarolv #NoTTIP</t>
  </si>
  <si>
    <t>Después de 40 años de dictadura y otros 40 de transacciones con los suyos, puede volver el Consejo Nacional del Movimiento; Autonómico, en este caso, PP+C’S+VOX. La pescadilla que se muerde la cola...</t>
  </si>
  <si>
    <t>Hasta los mismísimos de esta democracia orgánica y del franquismo sociológico. NO MD‼️</t>
  </si>
  <si>
    <t>Irene Lozano estaba muy preocupada con las injusticias hasta que llegó Pedro Sánchez y se le pusieron los ojos como el símbolo del euro y los labios dando palmas.</t>
  </si>
  <si>
    <t>Ignacio Martínez</t>
  </si>
  <si>
    <t>Susana Díaz (15 de mayo de 2017, en el debate de las primarias, contra Pedro Sánchez): “Si el PSOE no remonta electoralmente, me marcharé. Lo haré sin hacer ruido, sin fracturar el partido”.</t>
  </si>
  <si>
    <t>https://www.diariodesevilla.es/andalucia/caidas-Susana-Diaz_0_1306969407.html</t>
  </si>
  <si>
    <t>Periodista. Articulista del Grupo Joly</t>
  </si>
  <si>
    <t>POR QUÉ HUBO ALTÍSIMA ABSTENCIÓN EN DEMARCACIONES ‘SANCHISTAS’ COMO DOS HERMANAS? 🤔 “Sánchez no forzará el relevo de Susana Díaz: dejará que sea el PSOE andaluz el que la fulmine”</t>
  </si>
  <si>
    <t>https://okdiario.com/espana/2018/12/06/pedro-sanchez-no-forzara-relevo-susana-diaz-dejara-psoe-andaluz-fulmine-3434507#.XAlnWUMLq1Y.twitter</t>
  </si>
  <si>
    <t>Tabula Rasa</t>
  </si>
  <si>
    <t>Tiene una comunión y hay que acudir adecuadamente....</t>
  </si>
  <si>
    <t>JUGADA MAESTRA, BITCHES Aplicando para la Tanned Balls University. Con Letizia y Mariano a muerte, cavrones. ¡¡VIVA EL REY!!</t>
  </si>
  <si>
    <t>https://pbs.twimg.com/media/DtwLX57WoAACaIE.jpg</t>
  </si>
  <si>
    <t>Alfredo Ballesteros Ainsa 🇪🇺❌☢️☣️</t>
  </si>
  <si>
    <t>Magnifico  El #PSoe y los RoPeR El porqué d la nula aportación d #PoDeMoS a la regeneración d la vida política y pública en #eSPaÑa y por qué #VoX no va a contribuir al necesario cambio político en #aNDaLuCía</t>
  </si>
  <si>
    <t>Andrés</t>
  </si>
  <si>
    <t>http://bit.ly/2E2DH8B</t>
  </si>
  <si>
    <t>https://pbs.twimg.com/media/DtwKD0xW4AAW7rM.jpg</t>
  </si>
  <si>
    <t>Sevilla ( España)</t>
  </si>
  <si>
    <t>Agregador d noticias Tweets refieren noticias leídas y q han interesado No puedo afirmar su veracidad o conformidad con contenido ballesteros.alfredo@gmail.com</t>
  </si>
  <si>
    <t>http://bit.ly/ZuscYw</t>
  </si>
  <si>
    <t>Buzorra</t>
  </si>
  <si>
    <t>Elecciones en uno de los doce meses, seguro, pero le ha dicho su señora que África es muy grande y que necesita más tiempo "pa arreglarla". Pedro Sánchez descarta elecciones en marzo pero abre la puerta a mayo , por @KettyGarat  vía @libertaddigital</t>
  </si>
  <si>
    <t>"A mi juicio, el mejor gobierno es el que deja a la gente más tiempo en paz." Walt Whitman</t>
  </si>
  <si>
    <t>Bit Media</t>
  </si>
  <si>
    <t>Pedro Sánchez-Susana Díaz, la reyerta sigue</t>
  </si>
  <si>
    <t>http://entretenimientobit.com/interes-general/pedro-sanchez-susana-diaz-la-reyerta-sigue/?utm_campaign=twitter&amp;utm_medium=twitter&amp;utm_source=twitter</t>
  </si>
  <si>
    <t>Todo lo que ocurre en el mundo con noticias al instante para la comunidad hispanoparlante</t>
  </si>
  <si>
    <t>El día de la constitución se van a abuchear a un presidente elegido mediante los mecanismos de la misma y a aplaudir a un genocida que nos costó un atentado y a un corrupto que robó a todos los españoles... Bravo por todos esos demócratas!</t>
  </si>
  <si>
    <t>https://www.lasexta.com/noticias/nacional/gritos-de-fuera-fuera-y-abucheos-en-la-llegada-de-pedro-sanchez-al-acto-por-el-40-aniversario-de-la-constitucion-video_201812065c0904bc0cf2d96fe2faa790.html</t>
  </si>
  <si>
    <t>LibraNani</t>
  </si>
  <si>
    <t>Pedro Sánchez, quiere reforma la Constitución para incluir el artículo 14 de la Constitución 🤦🤦🤦. Inepto.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</si>
  <si>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Orgullosa de ser ESPAÑOLA</t>
  </si>
  <si>
    <t>Historia Española</t>
  </si>
  <si>
    <t>Pedro Sánchez: "Reformemos la Constitución para incluir en ella uno de nuestros mayores avances: la igualdad entre hombres y mujeres". Constitución Española, Artículo 14: Los españoles son iguales ante la ley, sin que pueda prevalecer discriminación alguna por razón de sexo. RT @sanchezcastejon: Es el tiempo de las mujeres. Todos lo fueron pero hoy, por fin, la sociedad empieza a asumir como propias las reivindicaciones feministas. Reformemos la Constitución para incluir en ella uno de nuestros mayores avances: la igualdad entre hombres y mujeres. #40añosDeConstitución</t>
  </si>
  <si>
    <t>Aragón, España.</t>
  </si>
  <si>
    <t>Orgulloso de ser español, orgulloso de nuestra historia, #EspañaViva🇪🇸. Cuenta denunciada por más de 100 separatistas. #TotsSomCatalunya</t>
  </si>
  <si>
    <t>Carmen De Carlos</t>
  </si>
  <si>
    <t>Con lo bien que habría quedado Pedro Sánchez con su veto... Theresa May admite, por primera vez, la posibilidad de que «no haya Brexit»  vía @ABC_Mundo</t>
  </si>
  <si>
    <t>https://www.abc.es/internacional/abci-theresa-admite-primera-posibilidad-no-haya-brexit-201812061315_noticia.html#ns_campaign=rrss-inducido&amp;ns_mchannel=abc-es&amp;ns_source=tw&amp;ns_linkname=noticia-foto&amp;ns_fee=0</t>
  </si>
  <si>
    <t>Periodista. Corresponsal de ABC. Directora de @SudAmericaHoy http://www.sudamericahoy.com Hago lo que puedo y como puedo.😊</t>
  </si>
  <si>
    <t>http://www.sudamericahoy.com</t>
  </si>
  <si>
    <t>carmelo santamaria</t>
  </si>
  <si>
    <t>Pedro Sánchez: Un narcisista amoral amigo de proetarras (900asesinados ) , golpistas y extrema izquierda revolucionaria antisistema llamada Podemos ,no puede nunca decir algo que merezca la pena ¡ Que asco !</t>
  </si>
  <si>
    <t>Español, burgales y orgulloso de nuestra historia</t>
  </si>
  <si>
    <t>JPG</t>
  </si>
  <si>
    <t>Este hombre con sus peculiares opiniones, siempre aprovecha para hacer una crítica velada a Pedro Sánchez, con dirigentes regionales así el PSOE tiene el enemigo en casa, OJO!!!!!!!! RT @_infoLibre: #Page considera "más peligrosa la xenofobia del independentismo catalán" que la extrema derecha</t>
  </si>
  <si>
    <t>https://twitter.com/_infoLibre/status/1070696918643290112
http://ow.ly/mn2n30mT9fr</t>
  </si>
  <si>
    <t>https://pbs.twimg.com/media/DtvhLEWW0AAtobf.jpg</t>
  </si>
  <si>
    <t>PVM</t>
  </si>
  <si>
    <t>Al final Rivera va a resultar otro ansioso de poder,como Pedro Sánchez.Siempre pensé que no era de fiar. RT @qqqqetru: ÚLTIMA HORA...Ciudadanos se alía con IGLESIAS.. después de sus actos vandálicos...a RIVERA también se le ha caído la careta!</t>
  </si>
  <si>
    <t>https://twitter.com/qqqqetru/status/1070291538939469825
https://okdiario.com/espana/2018/12/05/iglesias-plantea-ciudadanos-que-ponga-encima-mesa-acuerdo-andalucia-3430367</t>
  </si>
  <si>
    <t>Yo solo critico lo criticable y alabo lo loable, bajo un punto de vista básico.</t>
  </si>
  <si>
    <t>🌹 Pedro Sánchez, Presidente del Gobierno, “La subida del salario mínimo a los 900 euros estará en vigor el 1 de enero 2019”.</t>
  </si>
  <si>
    <t>https://pbs.twimg.com/media/DtwJVh4XgAEoQ3v.jpg</t>
  </si>
  <si>
    <t>Sánchez ve "más probable" la repetición de elecciones en Andalucía que el "consorcio de derecha...</t>
  </si>
  <si>
    <t>verx</t>
  </si>
  <si>
    <t>Pedro Sánchez, presidente del gobierno, en sus ratos libres predice el futuro. RT @TeoGarciaEgea: Pedro Sánchez es un crack haciendo predicciones.</t>
  </si>
  <si>
    <t>https://twitter.com/teogarciaegea/status/1069709119664390144</t>
  </si>
  <si>
    <t>no vull tenir-te a tu, vull amb tu tenir el tempss</t>
  </si>
  <si>
    <t>http://Instagram.com/veronotario_</t>
  </si>
  <si>
    <t>Países Noticias</t>
  </si>
  <si>
    <t>Abucheos y pitos a Pedro Sánchez a las puertas del Congreso en el 6-D – EL ESPAÑOL</t>
  </si>
  <si>
    <t>https://goo.gl/FXmHKc</t>
  </si>
  <si>
    <t>Noticias internacionales y del mundo. Sigue toda la actualidad geopolítica.</t>
  </si>
  <si>
    <t>ESTHER DAV ALICANTE</t>
  </si>
  <si>
    <t>HOY DIA CONSTITUCION ESPAÑOLA 40 AÑOS. SI A LA @olreligiosa DE  ESPAÑA. N El acto, que ha comenzado a las 12.00 horas, ha contado con la presencia de los reyes Don Juan Carlos I y Doña Sofía, ponentes constitucionales, el presidente Gobierno, Pedro Sánchez</t>
  </si>
  <si>
    <t>http://TODOS.VIVA</t>
  </si>
  <si>
    <t>https://pbs.twimg.com/media/DtwI8z8WwAE0aNu.jpg</t>
  </si>
  <si>
    <t>DEFENSA DE LA VIDA: DESDE SU NACIMIENTO HASTA LA MUERTE NATURAL</t>
  </si>
  <si>
    <t>Mateo Luna</t>
  </si>
  <si>
    <t>Seis meses de agonía para España!!!! Pedro Sánchez descarta elecciones en marzo pero abre la puerta a mayo - Libertad Digital</t>
  </si>
  <si>
    <t>https://pbs.twimg.com/media/DtvYQcJW0AA9Cha.jpg</t>
  </si>
  <si>
    <t>Jorge23</t>
  </si>
  <si>
    <t>Pedro Sánchez-Susana Díaz, la reyerta continúa  vía @elmundoes</t>
  </si>
  <si>
    <t>https://www.elmundo.es/espana/2018/12/06/5c0830e421efa089208b48c9.html</t>
  </si>
  <si>
    <t>Bembibre (León)</t>
  </si>
  <si>
    <t>Miler Vintage Running Club. Pongamos de moda la FELICIDAD. La HISTORIA la escribimos nosotros. Tres pasiones: FAMILIA, DEPORTE Y http://milervintage.es @SportSpanish</t>
  </si>
  <si>
    <t>El verdadero CIS de Pedro Sánchez: otro espectacular abucheo en el Congreso  vía ESdiario_com</t>
  </si>
  <si>
    <t>jose silva</t>
  </si>
  <si>
    <t>Abuchean a Pedro Sánchez a su llegada al Congreso por el 40 aniversario de la Constitución 👍</t>
  </si>
  <si>
    <t>https://pbs.twimg.com/media/DtwIb4GWkAcZVjM.jpg</t>
  </si>
  <si>
    <t>Alberto Sanz Blanco</t>
  </si>
  <si>
    <t>Sánchez @sanchezcastejon llega entre abucheos al Congreso en el #DíadelaConstitución #40AñosDeConstitución Lo mismo le ha ocurrido, aunque en menor medida, al expresidente del Gobierno, y también socialista, José Luis Rodríguez Zapatero  vía @ABCespana</t>
  </si>
  <si>
    <t>Periodista y analista político. Crítico artístico en @canalhablamos. Informado @telediario_tve opinado @abc_es Antes @Inforadio_UCM Sígueme y sabrás qué pienso</t>
  </si>
  <si>
    <t>http://albertosanzblanco.wordpress.com</t>
  </si>
  <si>
    <t>eljoioporculo</t>
  </si>
  <si>
    <t>#laconstitucionJelo @Juliaenlaonda ¿Os imagináis a Pablo Casado, Pedro Sánchez, Albert Rivera, Pablo Iglesias, Gabriel Rufián y Santiago Abascal pactando una Constitución? cortesia de @diostuitero</t>
  </si>
  <si>
    <t>pic.twitter.com/DaUKUlfS93</t>
  </si>
  <si>
    <t>ªLa ignorancia es la puerta a la manipulación"mío</t>
  </si>
  <si>
    <t>Susana, o no se entera o nó se quiere enterar, de que su derrota en Andalucua se la debe a Pedro Sanchez. RT @javi_redondo14: Sánchez-Díaz, la reyerta continúa:  vía @elmundoes</t>
  </si>
  <si>
    <t>https://twitter.com/javi_redondo14/status/1070729719874838530
https://www.elmundo.es/espana/2018/12/06/5c0830e421efa089208b48c9.html</t>
  </si>
  <si>
    <t>elnortedecastilla.es</t>
  </si>
  <si>
    <t>El presidente del Gobierno, abucheado a las puertas del Congreso en el 40 aniversario de la Constitución</t>
  </si>
  <si>
    <t>http://ow.ly/eo6t30mT21i</t>
  </si>
  <si>
    <t>Belén Ortiz Calle</t>
  </si>
  <si>
    <t>Y el “doctor” @sanchezcastejon se hace el sordo. #EleccionesYa  vía @20m</t>
  </si>
  <si>
    <t>Cuenta oficial del periódico El Norte de Castilla, líder en Castilla y León y Valladolid. Somos el decano de la prensa diaria española. Contigo desde 1854.</t>
  </si>
  <si>
    <t>http://www.elnortedecastilla.es/</t>
  </si>
  <si>
    <t>Aragas Rievag</t>
  </si>
  <si>
    <t>Este tipo es el segundo político mejor valorado, después de Pedro Sánchez. RT @agarzon: Hoy los actos oficiales nos venden la Constitución y la democracia como un producto creado por brillantes prohombres (no mujeres) de consenso. Ausente toda consideración al movimiento obrero, al PCE y a la lucha antifranquista, verdadero motor de la democracia.</t>
  </si>
  <si>
    <t>Economista. MBA en el IE. Ciudadana que cree que el cambio sensato es posible. V. V. Portavoz de @CsMadBarajas . En @CsMadridCiudad</t>
  </si>
  <si>
    <t>http://bit.ly/CsMadridCiudad</t>
  </si>
  <si>
    <t>https://twitter.com/agarzon/status/1070600644908777472</t>
  </si>
  <si>
    <t>Expaña</t>
  </si>
  <si>
    <t>Vamos tan deprisa y tan siguiendo lo que nos cuentan que no tenemos ni puta idea de a dónde vamos. Tampoco nos dejan tiempo de pensarlo, de eso se trata</t>
  </si>
  <si>
    <t>Elperroverde</t>
  </si>
  <si>
    <t>San Cristóbal de la Laguna, Is</t>
  </si>
  <si>
    <t>Aficionado a los perros, al vino, running, tecnología móvil y ordenadores, motos y más of course.</t>
  </si>
  <si>
    <t>http://elperroverdeverde.blogspot.com.es/?m=1</t>
  </si>
  <si>
    <t>Pedro Sánchez @sanchezcastejon llega entre# abucheos al Congreso en el día del 40 aniversario de la Constitución #40aniversarioconstitucion @psoe @desdelamoncloa</t>
  </si>
  <si>
    <t>http://atres.red/0sseh5</t>
  </si>
  <si>
    <t>https://www.abc.es/espana/abci-pedro-sanchez-llega-entre-abucheos-congreso-40-aniversario-constitucion-</t>
  </si>
  <si>
    <t>Sánchez pide reformar la Constitución para incluir la igualdad entre hombres y mujeres. A ver, Pedro, busca un lugar tranquilo y con luz y coge la santa madre constitución. Dale un par de repasitos, ya verás como encuentras la igualdad.</t>
  </si>
  <si>
    <t>https://www.elperiodico.com/es/politica/20181206/sanchez-constitucion-igualdad-mujeres-7188146?utm_campaign=notificaciones-web&amp;utm_source=pushwoosh&amp;utm_medium=alerta&amp;utm_content=https://www.elperiodico.com/es/politica/20181206/sanchez-constitucion-igualdad-mujeres-7188146</t>
  </si>
  <si>
    <t>https://pbs.twimg.com/media/DtwHuxbXgAAIKx5.jpg</t>
  </si>
  <si>
    <t>https://okdiario.com/espana/2018/12/06/pedro-sanchez-no-forzara-relevo-susana-diaz-dejara-psoe-andaluz-fulmine-3434507#.XAljHpuHlNI.twitter</t>
  </si>
  <si>
    <t>Infiltrado en  los CDR🇬🇬🇪🇸</t>
  </si>
  <si>
    <t>Es algo sin importancia según Sánchez Pedro @enoticiescat Herida en la cabeza de un CDR</t>
  </si>
  <si>
    <t>https://goo.gl/LWihtw</t>
  </si>
  <si>
    <t>Tras de ti!!</t>
  </si>
  <si>
    <t>Se parco en palabras ,que tus hechos hablen por ti! GOE XIX</t>
  </si>
  <si>
    <t>Exiliados de Extremoduro</t>
  </si>
  <si>
    <t>https://www.20minutos.es/noticia/3510387/0/abucheos-pedro-sanchez-congreso-aniversario-constitucion/?utm_source=facebook.com&amp;utm_medium=socialshare&amp;utm_campaign=mobile_amp</t>
  </si>
  <si>
    <t>Extremadura, ESPAÑA</t>
  </si>
  <si>
    <t>http://exiliadosdeextremo.blogspot.com.es/ http://exiliadosdeextremodu.foroactivos.net/</t>
  </si>
  <si>
    <t>https://www.facebook.com/exiliados.extremoduro</t>
  </si>
  <si>
    <t>Chema Gil Totti</t>
  </si>
  <si>
    <t>Pedro Sánchez, Presidente del Gobierno gracias a la extrema izquierda española, a la extrema izquierda catalana y a ETA. RT @sanchezcastejon: Si PP y Cs se apoyan en una fuerza antieuropea como Vox para gobernar Andalucía, tendrán que explicarlo. Quienes creemos en la España de los derechos, europeísta e inclusiva, debemos movilizarnos ante los que cuestionan estos avances. #SánchezT5</t>
  </si>
  <si>
    <t>https://pbs.twimg.com/media/DtwFyZMWoAIZCyI.jpg</t>
  </si>
  <si>
    <t>CatFAC</t>
  </si>
  <si>
    <t>#Noticia Ciudadanos ha solicitado al Ejecutivo presidido por Pedro Sánchez que informe si va a regular el uso terapéutico de esta sustancia.</t>
  </si>
  <si>
    <t>https://goo.gl/c6WHTD</t>
  </si>
  <si>
    <t>https://pbs.twimg.com/media/DtwFyK0X4AIek6D.jpg</t>
  </si>
  <si>
    <t>La Federación de Asociaciones de usuarios de Cannabis es una agrupación de diversas asociaciones de usuarios de Cannabis de todo el territorio Catalán.</t>
  </si>
  <si>
    <t>http://catfac.org/</t>
  </si>
  <si>
    <t>https://pbs.twimg.com/media/DtvUjNdXQAEY-aD.jpg</t>
  </si>
  <si>
    <t>Ha dicho Pedro Sánchez hoy que descarta convocar elecciones en marzo. ¡Vayan preparando los equipos de campaña! ¡Cartelería! ¡Imprenta! ¡Lista de interventores! ¡Rápido! "Pedro Sánchez descarta elecciones en marzo", por @KettyGarat</t>
  </si>
  <si>
    <t>Ricardo Portabales Jr.</t>
  </si>
  <si>
    <t>Madrid-Spain</t>
  </si>
  <si>
    <t>Operación Nécora instruida por Baltasar Garzón(Testigo protegido)una de las familias mas protegidas de la historia de España Justice for my mother. R.P.Jr.🇪🇸</t>
  </si>
  <si>
    <t>https://www.facebook.com/profile.php?id=100006184578326</t>
  </si>
  <si>
    <t>C. T.</t>
  </si>
  <si>
    <t>Maribel Sánchez</t>
  </si>
  <si>
    <t>Subsidios para mayores de 52 con urgencia.</t>
  </si>
  <si>
    <t>las Palmas de gran canaria</t>
  </si>
  <si>
    <t>Melilla, España</t>
  </si>
  <si>
    <t>Javier Cortés</t>
  </si>
  <si>
    <t>El Presidente del Gobierno,Pedro Sánchez, ha recibido en el Palacio de Moncloa a nuestro alumnado del Programa #UniverDI de la @ujaen Tras la visita, tuvimos la oportunidad de dialogar sobre la educación inclusiva @Fundacion_ONCE @AprompsiMaginaS @masvaleksi @chalucena @sudelcat RT @desdelamoncloa: Son jóvenes estudiantes de #UniverDI, programa de @ujaen y la @Fundacion_ONCE. Estos 18 alumnos han participado hoy en #MoncloaAbierta. Han visitado la sala del #CMin y han recorrido los jardines con el presidente del Gobierno, @sanchezcastejon.👇 #UniversidadInclusiva</t>
  </si>
  <si>
    <t>https://twitter.com/desdelamoncloa/status/1070002444090904580</t>
  </si>
  <si>
    <t>https://pbs.twimg.com/media/DtlmWrUXQAMA1NA.jpg</t>
  </si>
  <si>
    <t>👨‍🏫Profesor de la Facultad de Trabajo Social 🎓Doctor por la @ujaen 👥Trabajador Social:♿️Discapacidad🌍Cooperación Internacional💡Emprendimiento</t>
  </si>
  <si>
    <t>Pedro Sánchez aleja la posibilidad de elecciones en marzo: 'Seguiremos gobernando'</t>
  </si>
  <si>
    <t>https://pbs.twimg.com/media/DtwEl0AX4AIR1LV.jpg</t>
  </si>
  <si>
    <t>Juan Carlos Lopez</t>
  </si>
  <si>
    <t>Primero quedaste a Pedro Sánchez te barrió y ahora la derecha pirata ya</t>
  </si>
  <si>
    <t>Verdolagas Addict</t>
  </si>
  <si>
    <t>Demanda para Nacional: Club Pedro Sellares pide por Dávinson Sánchez | Futbolred</t>
  </si>
  <si>
    <t>https://www.futbol-addict.com/es-co/article/atletico-nacional/demanda-para-nacional-club-pedro-sellares-pide-por-davinson-sanchez/5c095cfb9451e7219d100199?utm_campaign=post-auto&amp;utm_medium=twitter&amp;utm_source=verdolagas-addict</t>
  </si>
  <si>
    <t>¡No te pierdas ninguna noticia del Atlético Nacional con Verdolagas Addict!</t>
  </si>
  <si>
    <t>http://www.futbol-addict.com/es-co/news/liga-aguila/atletico-nacional</t>
  </si>
  <si>
    <t>Pedro Sánchez se lleva la bronca del día</t>
  </si>
  <si>
    <t>https://www.lasprovincias.es/40-aniversario-constitucion/pedro-sanchez-lleva-20181206123919-ntrc.html</t>
  </si>
  <si>
    <t>LAS PROVINCIAS</t>
  </si>
  <si>
    <t>Valencia, Spain</t>
  </si>
  <si>
    <t>Noticias de la Comunitat Valenciana, de España y de ámbito internacional WhatsApp: 626641201. Agréganos y envíanos tu nombre. https://telegram.me/lasprovincias</t>
  </si>
  <si>
    <t>http://www.lasprovincias.es</t>
  </si>
  <si>
    <t>Jorge Estrella Benav</t>
  </si>
  <si>
    <t>Gritos de '¡fuera, fuera!' y abucheos en la llegada de Pedro Sánchez al acto por el 40 aniversario de la Constitución  vía @laSextaTV Esa esla cara del fascismo</t>
  </si>
  <si>
    <t>Guayaquil- Ecuador</t>
  </si>
  <si>
    <t>Guayaquileño, hincha a muerte de Emelec, me gusta la historia y las ciencias politicas. Impulso procesos de participacion ciudadana, entre lo más importante.</t>
  </si>
  <si>
    <t>Luis Balcarce</t>
  </si>
  <si>
    <t>"Apretad, apretad..." Los socios de Pedro Sánchez corriendo detrás de Marichalar para darle una paliza por defender la Constitución.</t>
  </si>
  <si>
    <t>Meditaciones mediáticas desde la sala de máquinas de Periodista Digital. Autor del libro 'PRISA: Liquidación de Existencias' (Foca, 2018)</t>
  </si>
  <si>
    <t>http://periodistadigital.com</t>
  </si>
  <si>
    <t>Unai Nomás</t>
  </si>
  <si>
    <t>No como Pedro Sánchez, cuya palabra va a misa RT @J_Zaragoza_: Según Arrimadas, ella ganó las elecciones en Catalunya. Según García Albiol, el las ganó en Badalona, pero para los dos, Susana las ha perdido en Andalucía, y VOX no es de ultraderecha. Mienten sin ninguna vergüenza.</t>
  </si>
  <si>
    <t>https://twitter.com/J_Zaragoza_/status/1070579340679790592</t>
  </si>
  <si>
    <t>Fosa de las Marianas</t>
  </si>
  <si>
    <t>Yo también me lo creía todo...</t>
  </si>
  <si>
    <t>La tarde de Dieter</t>
  </si>
  <si>
    <t>Cayetano González, sobre un posible adelanto electoral: "Creo que Pedro Sánchez hará lo que le convenga a él y a su partido, por ese orden".</t>
  </si>
  <si>
    <t>Programa de esRadio, de 16:00 a 19:00 de la tarde</t>
  </si>
  <si>
    <t>http://esradio.libertaddigital.com/es-la-tarde-de-dieter/</t>
  </si>
  <si>
    <t>Eliana💚</t>
  </si>
  <si>
    <t>Chiche cuestionando al Estado español pq reportó a un barra de Boca ... @CronicaTV hoy no duerme Pedro Sánchez</t>
  </si>
  <si>
    <t>El dedo en la llaga</t>
  </si>
  <si>
    <t>Cada grito q me exalta sustituye a una verdad me abate.Feminista.#PorAbortoLegal.Ni Arjona ni Coelho. Soda, P. Floyd, U2. Borges, Alfonsina, Benedetti, Idea.</t>
  </si>
  <si>
    <t>Sánchez, abucheado durante varios minutos a la entrada del Congreso: "¡Convoca elecciones!" - Libertad Digital</t>
  </si>
  <si>
    <t>EL BUENO, EL PROGRE Y EL FACHA</t>
  </si>
  <si>
    <t>Pufff, que cutres por Dios! Pedro Sánchez por lo menos copia a lo grande, una tesis, no un triste logo 🤣🤣🤣 RT @libertaddigital: El símbolo republicano de Podemos es una copia de un logo de peluquería que cuesta 9,50 euros</t>
  </si>
  <si>
    <t>https://twitter.com/libertaddigital/status/1070726588474437632
http://dlvr.it/Qt05r1</t>
  </si>
  <si>
    <t>SÍ, votaré #VOX. Visita mi canal youtube EL BUENO EL PROGRE Y EL FACHA. Te echarás unas risas.</t>
  </si>
  <si>
    <t>https://www.youtube.com/channel/UC4pLa55R6EOOyyfUaZ3eenQ</t>
  </si>
  <si>
    <t>Ana Isabel Díez</t>
  </si>
  <si>
    <t>En este aniversario de la Constitución los unicos abucheos e insultos han sido para dos presidentes socialistas: J L. R. Zapatero y Pedro Sánchez RT @montesinospablo: Pedro Sánchez, recibido con abucheos. "Fuera, fuera", no paran de gritarle los centenares de ciudadanos que están en los alrededores del Congreso</t>
  </si>
  <si>
    <t>https://twitter.com/montesinospablo/status/1070632826360479744</t>
  </si>
  <si>
    <t>Periodista de información política de EL PAÍS</t>
  </si>
  <si>
    <t>Daniel Cordero M</t>
  </si>
  <si>
    <t>🎥 Nueva pitada a Pedro Sánchez, ahora a las puertas del Congreso #40AñosDeConstitución⁠ ⁠#EleccionesYa</t>
  </si>
  <si>
    <t>pic.twitter.com/mcPah7PDH5</t>
  </si>
  <si>
    <t>Coslada, Comunidad de Madrid</t>
  </si>
  <si>
    <t>Afiliado al @ppcoslada Vocal del Consejo de Cooperación del @ayto_coslada He sido concejal de mi Ayto. http://facebook.com/danicorderom</t>
  </si>
  <si>
    <t>http://www.instagram.com/danicorderom</t>
  </si>
  <si>
    <t>Pedro Martínez</t>
  </si>
  <si>
    <t>CONVIVIO DE FIN DE AÑO De nuestro amigo Matias Nazario con representantes de los medios de comunicación. En la gráfica superior Guillermo Cinta, Antonieta Sánchez Nere, Javier Jaramillo Frikas, Matías Nazario, Pedro Martínez, Mirza Elda López Gil y Eusebio Gimenio Gonzalez</t>
  </si>
  <si>
    <t>Juan Cascón</t>
  </si>
  <si>
    <t>https://blogs.elconfidencial.com/espana/desde-fuera/2018-12-06/elecciones-andalucia-pedro-sanchez-susana-diaz-culpable-hundimiento-titanic-socialista_1688542/?utm_campaign=BotoneraWebapp&amp;utm_source=twitter&amp;utm_medium=social</t>
  </si>
  <si>
    <t>Estamos de paso.</t>
  </si>
  <si>
    <t>Rafael Duarte</t>
  </si>
  <si>
    <t>Por fin alguien se cae del Guindo. Pedro Sánchez: “A los independentistas les da igual el modelo de Estado, quieren ir contra el ser de España”  vía @elpais_espana</t>
  </si>
  <si>
    <t>Encantado de aprender, feliz de compartir y preparado para hacer. //. Deligthed to learn, happy to share and ready to do.</t>
  </si>
  <si>
    <t>Ricardo-RM</t>
  </si>
  <si>
    <t>Yo me he afiliado por Pedro Sánchez, RT @lolasegurado: @riki712 A mi me encanta que me llamen Sanchista!!!!!</t>
  </si>
  <si>
    <t>https://twitter.com/lolasegurado/status/1070724104142106624</t>
  </si>
  <si>
    <t>emigrante retornado a mi pais y jubilado</t>
  </si>
  <si>
    <t>El coste del paseo de Pedro “Falconetti” Sanchez hasta Valladolid también es secreto de estado.</t>
  </si>
  <si>
    <t>https://www.esdiario.com/191747808/El-coste-del-paseo-de-Falconetti-hasta-Valladolid-tambien-es-secreto-de-Estado.html</t>
  </si>
  <si>
    <t>Sánchez ve "más probable" la repetición de elecciones en Andalucía que el "consorcio de derechas"  vía @20m</t>
  </si>
  <si>
    <t>https://www.20minutos.es/noticia/3510514/0/pedro-sanchez-andalucia-susana-diaz/?utm_source=twitter.com&amp;utm_medium=socialshare&amp;utm_campaign=desktop</t>
  </si>
  <si>
    <t>León</t>
  </si>
  <si>
    <t>Rafael G de Vinuesa</t>
  </si>
  <si>
    <t>Sánchez ve más probable un consorcio de derechas en Andalucía que repetir elecciones  vía @epnacional</t>
  </si>
  <si>
    <t>https://www.europapress.es/nacional/noticia-pedro-sanchez-ve-mas-probable-consorcio-derechas-andalucia-repeticion-elecciones-20181206153806.html</t>
  </si>
  <si>
    <t xml:space="preserve">Arroyo del Ojanco (Jaén) </t>
  </si>
  <si>
    <t>Aficionado a la meteorologia desde pequeño. Tambien me gusta la informatica, y la naturaleza del Paraiso Interior de Jaén. Sierra de Segura Pais Andaluz</t>
  </si>
  <si>
    <t>http://www.jaenparaisointerior.es</t>
  </si>
  <si>
    <t>https://www.youtube.com/watch?v=_ifz81LmVRE</t>
  </si>
  <si>
    <t>Tiro Indirecto</t>
  </si>
  <si>
    <t>El presidente español Pedro Sánchez busca enlazar dos continentes a través del fútbol.</t>
  </si>
  <si>
    <t>https://eltiroindirecto.wordpress.com/2018/11/21/espana-aboga-por-candidatura-conjunta-con-marruecos-y-portugal-para-mundial-2030/</t>
  </si>
  <si>
    <t>manuel lopez</t>
  </si>
  <si>
    <t>Este sistema asesino en el que colaboraba Otegui, lo desconoce la mayoría de la generación actual. Que se enteren y sigan entusiasmados con su mentor, Pedro Sánchez !!!!!</t>
  </si>
  <si>
    <t>https://pbs.twimg.com/media/Dtv7vZpWoAEruN3.jpg</t>
  </si>
  <si>
    <t>Felipe Sasur</t>
  </si>
  <si>
    <t>Federico a las 8: Disturbios en las manifestaciones promovidas por Podemos  vía @YouTube........,,,,,,,RETRATO DE PEDRO SÁNCHEZ QUE VALE LA PENA ESCUCHAR.</t>
  </si>
  <si>
    <t>https://youtu.be/4PTXuB7WSGs</t>
  </si>
  <si>
    <t>Alejandro Benítez</t>
  </si>
  <si>
    <t>Pedro Sánchez recibido entre pitos y abucheos en el Congreso de los Diputados, en la celebración de los #40añosDeConstitución ¡Deje de hacer el ridículo y dimita, @sanchezcastejon !</t>
  </si>
  <si>
    <t>Antonio Pérez Ortiz</t>
  </si>
  <si>
    <t>No puedo verme quieto y escribo. Estudiante de Sociología y Ciencia Política y de la Administración. Defendiendo la libertad como sinónimo de responsabilidad.</t>
  </si>
  <si>
    <t>https://abenitezlopez.wordpress.com</t>
  </si>
  <si>
    <t>07/03/1932.en Salta .-Argentina Hijo y descendiente españoles radicado Murcia 1990. Universitario Exe mpresario Productor, Comerciante y Exportador de Frutas</t>
  </si>
  <si>
    <t>Adolfo#Universal</t>
  </si>
  <si>
    <t>Colmenar Viejo</t>
  </si>
  <si>
    <t>Escritor, Filósofo y Freak</t>
  </si>
  <si>
    <t>http://manifiestouniversalista.blogspot.com</t>
  </si>
  <si>
    <t>Sánchez ve "más probable" la repetición de elecciones en Andalucía que el "consorcio de derechas"</t>
  </si>
  <si>
    <t>http://ver.20m.es/_jw_w1</t>
  </si>
  <si>
    <t>https://pbs.twimg.com/media/Dtv64GkXcAA74oa.jpg</t>
  </si>
  <si>
    <t>🇪🇸 M.A.G.V 🇪🇸</t>
  </si>
  <si>
    <t>Pedro Sánchez llega entre abucheos al Congreso en el día del 40 aniversario de la Constitución  vía @abc_es</t>
  </si>
  <si>
    <t>Empleado de banca. Amante de la Economía y los Mercados Financieros. Aficionado a la política y comprometido con España.</t>
  </si>
  <si>
    <t>Actuall</t>
  </si>
  <si>
    <t>Pedro Sánchez contra Winnie the Pooh, por Nicolás de Cárdenas @cardenasnicolas</t>
  </si>
  <si>
    <t>http://ow.ly/jI9m30mNxLC</t>
  </si>
  <si>
    <t>Periodismo de buenas causas. Actualidad para saber y actuar. Provida, profamilia, comprometido con la libertad.</t>
  </si>
  <si>
    <t>http://www.actuall.com</t>
  </si>
  <si>
    <t>CanalSurNoticias</t>
  </si>
  <si>
    <t>El alcalde de #Campillos pide una reunión con Pedro Sánchez para solicitar las ayudas prometidas por las riadas | Más info ℹ️ y vídeo completo ▶️</t>
  </si>
  <si>
    <t>http://csur.red/ZkDX50jSmUQ</t>
  </si>
  <si>
    <t>https://pbs.twimg.com/media/Dtv6bSrWsAE2k7K.jpg</t>
  </si>
  <si>
    <t>Perfil oficial de los Servicios Informativos de CanalSur.</t>
  </si>
  <si>
    <t>http://www.canalsur.es</t>
  </si>
  <si>
    <t>Cenicienta sin prisa</t>
  </si>
  <si>
    <t>La derecha quejándose de las manifestaciones en contra de Vox argumentando que han entrado en el parlamento legítimamente mientras llaman okupa a Pedro Sánchez. Te tienes que reír.</t>
  </si>
  <si>
    <t>Soy comunista y discuto con gente que no aprecia el cine español.</t>
  </si>
  <si>
    <t>https://www.instagram.com/cenicienta_sin_prisa/</t>
  </si>
  <si>
    <t>Ha sido durante el cocktail del acto sobre los 40 años de la Constitución</t>
  </si>
  <si>
    <t>Cantabria</t>
  </si>
  <si>
    <t>http://atres.red/kfvmr2</t>
  </si>
  <si>
    <t>Edson Reinoso ERN</t>
  </si>
  <si>
    <t>Causa indignación entre los moradores de Pedro Sánchez en la provincia el seibo, La precaria situación que atraviesa una humilde señora, luego de recibir La promesa de parte del señor presidente de la república señor...</t>
  </si>
  <si>
    <t>https://www.facebook.com/mocanosrd/videos/291880231433762/</t>
  </si>
  <si>
    <t>BRONX NY</t>
  </si>
  <si>
    <t>Edson Reinoso-Noticias ERN IG @losmocanos54 FANS PAGE Edson Reinoso http://losmocanos54.com</t>
  </si>
  <si>
    <t>http://losmocanos54.com</t>
  </si>
  <si>
    <t>A Rivera le ha gustado poner nombre al PSOE liderado por Pedro Sánchez, como sanchismo, habrá darle nombre a C,s de Rivera,como el rivarismo? RT @CiudadanosCs: 🇪🇸 @Albert_Rivera "Debemos buscar consensos entre los partidos constitucionalistas para hacer reformas. Ahora no es posible porque el #Sanchismo ha abandonado ese espacio, pero en una nueva legislatura podemos lograr esa mayoría" #40AñosdeConstitución</t>
  </si>
  <si>
    <t>https://twitter.com/CiudadanosCs/status/1070637898142240768</t>
  </si>
  <si>
    <t>pic.twitter.com/o8aDyzKnDf</t>
  </si>
  <si>
    <t>Periódico de Aragón</t>
  </si>
  <si>
    <t>Pedro Sánchez, recibido con gritos de 'fuera, fuera'</t>
  </si>
  <si>
    <t>https://www.elperiodicodearagon.com/noticias/espana/pedro-sanchez-recibido-gritos-fuera-fuera_1328567.html</t>
  </si>
  <si>
    <t>Ultimas noticias publicadas en nuestra web</t>
  </si>
  <si>
    <t>http://www.elperiodicodearagon.com</t>
  </si>
  <si>
    <t>Pedro Sánchez cree que se abrirá paso antes un consorcio de derechas en Andalucía que la repetició...  #noticias</t>
  </si>
  <si>
    <t>http://bit.ly/2AUPhiV</t>
  </si>
  <si>
    <t>http://www.veoinfo.com/abucheos-a-pedro-sanchez-a-su-llegada-al-congreso-y-larga-ovacion-a-los-reyes/</t>
  </si>
  <si>
    <t>https://pbs.twimg.com/media/Dtv47MkVsAIJPfp.jpg</t>
  </si>
  <si>
    <t>«Pedro Sánchez-Susana Díaz, la reyerta continúa» via @elmundoes</t>
  </si>
  <si>
    <t>Ricardo Plaza</t>
  </si>
  <si>
    <t>Leo que el dispositivo policial para el partido River-Boca será de 4000 efectivos, y digo yo 🤔 ¿quién va a pagar todo esto, Florentino, Rubiales, Pedro Sánchez... o saldrá del presupuesto de todos los españoles, como siempre? Que necesidad teníamos de esto?</t>
  </si>
  <si>
    <t>¡¡Atleti, cuanto sufro y a la vez cuanto disfruto contigo!! FORZA ATLETI SIEMPRE</t>
  </si>
  <si>
    <t>Marcelo Doval</t>
  </si>
  <si>
    <t>Abucheos y pìtos a Pedro Sánchez en la celebración del 6-D -  # via @dailymotion_es</t>
  </si>
  <si>
    <t>http://www.dailymotion.com/video/x6yhf6n</t>
  </si>
  <si>
    <t>Journalist.</t>
  </si>
  <si>
    <t>Pedro Sanchez abucheado en Madrid. Con esto no abrirá noticiero #Tele5 tachándolos de intolerantes, como hizo ayer con los catalanes?. #TeleBasura #Ibex35</t>
  </si>
  <si>
    <t>https://okdiario.com/espana/2018/12/06/pedro-sanchez-no-forzara-relevo-susana-diaz-dejara-psoe-andaluz-fulmine-3434507#.XAlTBB3dy3s.twitter</t>
  </si>
  <si>
    <t>LlVis V</t>
  </si>
  <si>
    <t>Catalunya es el meu País, porto el Barça al cor i sóc un enamorat d'Egipte!!</t>
  </si>
  <si>
    <t>Sánchez también ha destacado que ahora mismo no se quiere poner en otro escenario que no sea el Gobierno de Susana Díaz en Andalucía</t>
  </si>
  <si>
    <t>http://atres.red/kfvmr3</t>
  </si>
  <si>
    <t>es superior a mi , cada vez que veo al Sr. Pedro Sanchez rebajandose ante los dirigentes del proceSS le diria...pero no se cansa de hacer el ridiculo?.no se cansa de mancillar el nombre de España?..Se ve que no, le puede mas su ambición #DiaDeLaConstitucion</t>
  </si>
  <si>
    <t>https://pbs.twimg.com/media/Dtv2tXiXgAA6ksx.jpg</t>
  </si>
  <si>
    <t>Sito llñll</t>
  </si>
  <si>
    <t>Esperemos que algún día este tenga que largarse de España por la puerta pequeña.</t>
  </si>
  <si>
    <t>J.Bravo no se retiene Cumplid pronto la sentencia pero llamarnos traidores nadie podra en esta tierra Mientes tu vil pregonero y aquel a quien obedezcas Cas.Esp</t>
  </si>
  <si>
    <t>Comunidad Mitre</t>
  </si>
  <si>
    <t>El mensaje del presidente español a los hinchas de Boca y River: “Vamos a cuidar su final” (Vía LongobardiM)  #MitreBA</t>
  </si>
  <si>
    <t>http://ow.ly/ouFS30mThgW</t>
  </si>
  <si>
    <t>argentina</t>
  </si>
  <si>
    <t>R. Mitre, TW no oficial !!! @ComunidadMitre !! #DondeVosTambienEstas</t>
  </si>
  <si>
    <t>http://radiomitre.com.ar/es/la/web/oficial</t>
  </si>
  <si>
    <t>Sin complejos</t>
  </si>
  <si>
    <t>Sánchez, abucheado durante varios minutos a la entrada del Congreso: "¡Convoca elecciones!" Por favor convoca #EleccionesYa @sanchezcastejon El secuestrador de la voz del pueblo.</t>
  </si>
  <si>
    <t>Marcelo Longobardi</t>
  </si>
  <si>
    <t>El mensaje del presidente español a los hinchas de Boca y River: “Vamos a cuidar su final”</t>
  </si>
  <si>
    <t>http://ow.ly/yu1e30mThmU</t>
  </si>
  <si>
    <t>No os interesa...</t>
  </si>
  <si>
    <t>Cuenta oficial de Marcelo Longobardi, administrada por el equipo de @radiomitre.</t>
  </si>
  <si>
    <t>http://www.marcelolongobardi.com.ar</t>
  </si>
  <si>
    <t>Baró de SEdR - Aparicio Torelly 🐐</t>
  </si>
  <si>
    <t>Recordeu aquelles paraules de Pedro Sánchez, sobre els enregistraments d'en Villarejo: - "No nos va a marcar la agenda política un corrupto" - "Este Gobierno no tiene hipotecas". - "El Estado no acepta chantajes de nadie". Au, doncs ja surt de presó!</t>
  </si>
  <si>
    <t>https://www.larepublica.cat/villarejo-en-preso-privisional-podria-quedar-en-llibertat-amb-mesures-cautelars/</t>
  </si>
  <si>
    <t>Itararé, Brasil</t>
  </si>
  <si>
    <t>Barão de Itararé (1895 - 1971) Baró de Sant Esteve de les Roures (2017 - .... ) #Apporelly</t>
  </si>
  <si>
    <t>David Rodríguez Arias</t>
  </si>
  <si>
    <t>Según el CIS, la gente lo piropeaba por ser demasiado buen presidente del Gobierno. Le recordaban que es presidente del gobierno, porque él lo olvida con frecuencia, y merecería viajar en Boeing 747 y no en Falcon, como en su infinita modestia hace.</t>
  </si>
  <si>
    <t>https://www.elespanol.com/espana/politica/20181206/abucheos-pitos-pedro-sanchez-puertas-congreso/358714535_0.amp.html</t>
  </si>
  <si>
    <t>Aquí</t>
  </si>
  <si>
    <t>La fuerza suprema primera y última es la razón.</t>
  </si>
  <si>
    <t>Radio Mitre</t>
  </si>
  <si>
    <t>El mensaje del presidente español a los hinchas de Boca y River: “Vamos a cuidar su final” (Vía @LongobardiM)</t>
  </si>
  <si>
    <t>La radio más escuchada de Argentina | Miranos en HD: http://mitreHD.com.ar | Instagram: http://instagram.com/radiomitre | FB: http://facebook.com/radiomitre</t>
  </si>
  <si>
    <t>http://www.radiomitre.com.ar</t>
  </si>
  <si>
    <t>2018-12-06 Vídeo Acto de la Constitución. Las Cortes acogen con una ovación al rey Juan Carlos y con abucheos a Pedro Sánchez. Representantes de En Comú Podem, ERC, PDCaT, PNV y EH-Bildu no acudieron y los parlamentarios de Unidos Podemos no aplaudieron</t>
  </si>
  <si>
    <t>https://www.huffingtonpost.es/2018/12/06/las-cortes-acogen-con-una-ovacion-al-rey-juan-carlos-y-con-abucheos-a-sanchez_a_23610458/?utm_hp_ref=es-homepage</t>
  </si>
  <si>
    <t>Richard</t>
  </si>
  <si>
    <t>Pedro Sánchez, BambiZp, Iñaki Gabilondo y las benielisas. No os queda mili...</t>
  </si>
  <si>
    <t>https://pbs.twimg.com/media/Dtv1lJkW0AE0JNe.jpg</t>
  </si>
  <si>
    <t>Bilbao.</t>
  </si>
  <si>
    <t>Vivir de la bolsa y los mercados financieros. Saber cómo en 5 horas. Fines de semana en Bilbao: 500 e., 400 sin hotel. 618620459. richard.barakaldo@gmail.com</t>
  </si>
  <si>
    <t>http://www.inbestia.com</t>
  </si>
  <si>
    <t>Madrid Directo OM</t>
  </si>
  <si>
    <t>🔴Directo desde Cª de San Jerónimo ⏲️ 17:30 📻@ondamadrid 101.3fm 🎤@MarioSandovalCOQUE le prepararía escabeche a Pedro Sánchez, cebiche a Pablo Iglesias, un asado a Pablo Casado y naranja Grand Manier a Albert Rivera 🔊  #DiaDeLaConstitución</t>
  </si>
  <si>
    <t>http://www.telemadrid.es/emision-en-directo-ondamadrid/</t>
  </si>
  <si>
    <t>https://pbs.twimg.com/media/Dtv1VIBWoAA6Qtp.jpg</t>
  </si>
  <si>
    <t>Onda Madrid, Madrid</t>
  </si>
  <si>
    <t>Madrid Directo en Onda Madrid con Nieves Herrero de lunes a viernes. 16:00 a 20:00 📻</t>
  </si>
  <si>
    <t>http://www.telemadrid.es/ondamadrid</t>
  </si>
  <si>
    <t>Pedro Sánchez niño</t>
  </si>
  <si>
    <t>https://pbs.twimg.com/media/Dtv1RS-WkAABEg-.jpg</t>
  </si>
  <si>
    <t>https://pbs.twimg.com/media/Dtv1C6bX4AAyqjW.jpg</t>
  </si>
  <si>
    <t>ANA</t>
  </si>
  <si>
    <t>Afectados por Afinsa y Fórum Filatélico abuchean a Sánchez frente al Congreso</t>
  </si>
  <si>
    <t>https://www.elconfidencial.com/espana/2018-12-06/pedro-sanchez-constitucion-pitos-abucheos-afinsa-forum-filatelico_1690530/?utm_source=facebook&amp;utm_medium=social&amp;utm_campaign=BotoneraWeb</t>
  </si>
  <si>
    <t>TRABAJA EN EL ILUSTRE COLEGIO DE PROCURADORES DE VALENCIA</t>
  </si>
  <si>
    <t>http://dlvr.it/Qszy1t</t>
  </si>
  <si>
    <t>https://pbs.twimg.com/media/Dtv0YYIUUAAi5KZ.jpg</t>
  </si>
  <si>
    <t>Le ha beneficiado a Pedro.</t>
  </si>
  <si>
    <t>https://comopunos2.blogspot.com/2018/12/la-gran-oportunidad-Pedro-Sanchez-Susana-Diaz-Andaluzas-Elecciones.html?m=1</t>
  </si>
  <si>
    <t>Sánchez, abucheado durante varios minutos a la entrada del Congreso: "¡Convoca elecciones!"  #40AñosDeConstitución</t>
  </si>
  <si>
    <t>http://bit.ly/2KYw1FL</t>
  </si>
  <si>
    <t>https://pbs.twimg.com/media/DtvzdgSXcAAKXZe.jpg</t>
  </si>
  <si>
    <t>José García Palacios</t>
  </si>
  <si>
    <t>"Las cifras del pánico: así conduce Pedro Sánchez al precipicio a todo el PSOE"</t>
  </si>
  <si>
    <t>http://dlvr.it/Qszx3V</t>
  </si>
  <si>
    <t>https://pbs.twimg.com/media/DtvzdLOUUAAAxoK.jpg</t>
  </si>
  <si>
    <t>Houston, TX</t>
  </si>
  <si>
    <t>Defensor de la libertad, basada en la justicia y llevada a la práctica por medio de la democracia. Liberal y evangélico. Español y proisraelí. rt≠ok.</t>
  </si>
  <si>
    <t>http://elrincondelalibertad.blogspot.com/</t>
  </si>
  <si>
    <t>#ABCrecomienda 👉 Los presidentes de la democracia escriben en ABC ✍ Pedro Sánchez: Un impulso constitucional para el cambio de época  #40AñosDeConstitución</t>
  </si>
  <si>
    <t>http://ver.abc.es/flufc2</t>
  </si>
  <si>
    <t>https://pbs.twimg.com/media/DtvxKUdXQAAiNTi.jpg</t>
  </si>
  <si>
    <t>Un repaso por los detalles del acto por los 40 años de la Constitución en el Congreso</t>
  </si>
  <si>
    <t>http://atres.red/eretz4</t>
  </si>
  <si>
    <t>https://ift.tt/2G3yHmM</t>
  </si>
  <si>
    <t>Enriqueta Cercós</t>
  </si>
  <si>
    <t>Pedro Sánchez aleja el calendario electoral y pedirá una reunión con Torra el 21-D @lavanguardia</t>
  </si>
  <si>
    <t>http://shr.gs/WFfTGO</t>
  </si>
  <si>
    <t>PrincesaBolch ☭</t>
  </si>
  <si>
    <t>¿Los peperos y compañía que dicen que la izquierda se manifiesta contra los resultados de una votación y que ellos a diferencia no? Amigos literalmente dijisteis que la moción de censura de Pedro Sanchez fue un golpe de estado</t>
  </si>
  <si>
    <t>Castigar a los opresores es clemencia, perdonarles es barbarie</t>
  </si>
  <si>
    <t>Mar ➰</t>
  </si>
  <si>
    <t>"Consorcio de derechas". Nueva definición progre. Pedro Sánchez descarta elecciones en marzo pero abre la puerta a mayo , por @KettyGarat  vía @libertaddigital</t>
  </si>
  <si>
    <t>Si buscas resultados distintos, no hagas siempre lo mismo'</t>
  </si>
  <si>
    <t>Ale.</t>
  </si>
  <si>
    <t>Bien por Casado publicando estas fotos justo después que sale la noticia de que Pedro Sanchez fue abucheado a la entrada del Congreso ✨ RT @pablocasado_: En el @PPopular enarbolamos nuestras señas de identidad de siempre y tenemos un proyecto ganador para recuperar la ilusión y el orgullo de ser miembros del mejor partido de España. Gracias por vuestras palabras, recibimiento y afecto. @Congreso_Es #40AñosDeConstitución</t>
  </si>
  <si>
    <t>Basada en hechos reales. UCVista. Politóloga. Susanita de clóset. Madridista, Disney lover. Slytherin. Defensora de causas perdidas ❤️</t>
  </si>
  <si>
    <t>PlastiKe</t>
  </si>
  <si>
    <t>Me ha gustado un vídeo de @YouTube ( - Abucheos y pitidos a Pedro Sánchez en la celebración del 6 D).</t>
  </si>
  <si>
    <t>http://youtu.be/N-yRPA2j1rk?a</t>
  </si>
  <si>
    <t>Fanático de la tecnología y sus usos sociales, cinéfilo geek, al menos veo una película por semana</t>
  </si>
  <si>
    <t>https://www.youtube.com/user/PlastiGameR</t>
  </si>
  <si>
    <t>Fernando Andrade</t>
  </si>
  <si>
    <t>Hoy a su llegada al Congreso de los Diputados (España), José Luis Rodríguez Zapatero y Pedro Sánchez fueron pitados por el público que aguardaba en la Carrera de San Jerónimo, en clara señal de rechazo al PSOE y el actual presidente del gobierno.</t>
  </si>
  <si>
    <t>Venezolano, abogado penalista, egresado de la UCV, experto en derecho médico y sin afiliación política actual.</t>
  </si>
  <si>
    <t>ConÑdeEspaÑa</t>
  </si>
  <si>
    <t>Pedro Sánchez: “A los independentistas les da igual el modelo de Estado, quieren ir contra el ser de España”, cada vez estoy más convencido de la discapacidad profunda de este señor.</t>
  </si>
  <si>
    <t>La caridad es humillante porque se ejerce verticalmente y desde arriba; la solidaridad es horizontal e implica respeto mutuo. Eduardo Galeano (1940-2015).</t>
  </si>
  <si>
    <t>Sánchez, sobre el avance electoral: "En marzo seguiremos trabajando y gobernando"</t>
  </si>
  <si>
    <t>https://www.elconfidencial.com/espana/2018-12-06/pedro-sanchez-adelanto-electoral-marzo-seguiremos-trabajando-gobernando_1690978/?utm_source=twitter&amp;utm_medium=social&amp;utm_campaign=NacionalDiarioAutomatico</t>
  </si>
  <si>
    <t>El rey Juan Carlos I no había vuelto al Congreso tras la abdicación. Pero no ha sido el único momento destacado que se ha vivido hoy</t>
  </si>
  <si>
    <t>http://atres.red/eretz2</t>
  </si>
  <si>
    <t>La Nariz De Battiato</t>
  </si>
  <si>
    <t>Madre mía Pedro Sánchez #40AñosDeConstitución #DíadelaConstitución Felipe VI</t>
  </si>
  <si>
    <t>https://pbs.twimg.com/media/DtvvskKWwAEixbv.jpg</t>
  </si>
  <si>
    <t xml:space="preserve">Mi casa </t>
  </si>
  <si>
    <t>El animal que llevo dentro nunca me ha dejado ser Feliz</t>
  </si>
  <si>
    <t>MASABE 🇪🇸</t>
  </si>
  <si>
    <t>Alcalde se un poco más coherente y no digas lo que no sabes explicar, la desacreditación de las Instituciones y de nuestra Constitución, solo tiene un nombre PEDRO SÁNCHEZ CASTEJON, más bajo no podía llegar y menos capacidad para sacar a este país adelante RT @PacoCuenca: Separatistas y fascistas juegan a desacreditar nuestra Constitución, y es ahora cuando con más ahínco hay que ampararse en ella para fortalecer la convivencia que nos ha hecho grandes como país. #40AñosdeConstitución</t>
  </si>
  <si>
    <t>https://twitter.com/pacocuenca/status/1070640232708616192</t>
  </si>
  <si>
    <t>Me ne andai cosí lontano che dimenticai di tornare</t>
  </si>
  <si>
    <t>Sánchez ve más probable un consorcio de derechas en Andalucía que repetir elecciones  El presidente del Gobierno, Pedro Sánchez, ha admitido este jueves que ve más probable la constitución de un “consorcio de derechas” en Andalucía que la repetición de l…</t>
  </si>
  <si>
    <t>https://ift.tt/2Un6Hh2</t>
  </si>
  <si>
    <t>Feli Cubero</t>
  </si>
  <si>
    <t>Esto me suena Maduro en Venezuela... Sánchez, abucheado durante varios minutos a la entrada del Congreso: "¡Convoca elecciones!"</t>
  </si>
  <si>
    <t>Pedro Sánchez: “A los independentistas les da igual el modelo de Estado, quieren ir contra el ser de España”  Vía @El_Pais</t>
  </si>
  <si>
    <t>https://elpais.com/politica/2018/12/04/actualidad/1543916726_658727.html#?ref=rss&amp;format=simple&amp;link=link</t>
  </si>
  <si>
    <t>INFH NDPNTSM 061218171013 Sánchez ve más probable un consorcio de derechas en Andalucía que repetir elecciones</t>
  </si>
  <si>
    <t>Paradigma Media</t>
  </si>
  <si>
    <t>📻 La pasada tertulia de #QueTalComoEstamos estuvimos con Miguel Santiago, M.ª Jose Moruno y @rafadelcastillo. El 2º tema fue la marcha atrás del Gobierno de Pedro Sánchez en su promesa de cambiar la #ReformaLaboral del PP  #CórdobaEsp</t>
  </si>
  <si>
    <t>https://buff.ly/2UiCobe</t>
  </si>
  <si>
    <t>https://pbs.twimg.com/media/DtvuLZoX4AEtYGu.jpg</t>
  </si>
  <si>
    <t>Córdoba, Andalucía, España</t>
  </si>
  <si>
    <t>🗞️ Iniciativa ciudadana y libre de comunicación que cubre las carencias informativas de nuestra sociedad. Todo ello sin tergiversación y sin ánimo de lucro 📻</t>
  </si>
  <si>
    <t>http://paradigmamedia.org/</t>
  </si>
  <si>
    <t>Sánchez, sobre el avance electoral: "En marzo seguiremos trabajando y gobernando"  Juanma Romero</t>
  </si>
  <si>
    <t>https://ift.tt/2BTgp3o</t>
  </si>
  <si>
    <t>Diario de Avisos</t>
  </si>
  <si>
    <t>📖📖 El discurso del Rey, los heridos en la manifestación de Girona y los abucheos a Pedro Sánchez, protagonistas del Día de la Constitución  #NacionalDA</t>
  </si>
  <si>
    <t>https://diariodeavisos.elespanol.com/2018/12/heridos-12-mossos-y-2-activistas-en-la-manifestacion-por-la-constitucion-en-girona/</t>
  </si>
  <si>
    <t>https://pbs.twimg.com/media/DtvtMUhW4AIZPmz.jpg</t>
  </si>
  <si>
    <t>El portal de noticias y entretenimiento líder en Canarias. En papel, el decano de la prensa, desde 1890 en tu kiosco</t>
  </si>
  <si>
    <t>http://www.diariodeavisos.com</t>
  </si>
  <si>
    <t>https://pbs.twimg.com/media/DtvtB8AWoAgRik0.jpg</t>
  </si>
  <si>
    <t>Suele repetir con notable sorna un veterano dirigente socialista, q si Pedro Sánchez fuese el consejero delegado d cualquier empresa española estaría hace tiempo de patitas en la calle</t>
  </si>
  <si>
    <t>IndependienteGranada</t>
  </si>
  <si>
    <t>Pedro Sánchez cree que se abrirá paso antes un consorcio de derechas en Andalucía que la repetición de las elecciones</t>
  </si>
  <si>
    <t>http://www.elindependientedegranada.es/politica/pedro-sanchez-cree-que-abrira-paso-antes-consorcio-derechas-andalucia-que-repeticion</t>
  </si>
  <si>
    <t>https://pbs.twimg.com/media/Dtvsb4EWsAAZSMe.jpg</t>
  </si>
  <si>
    <t>Granada, Andalucía, España.</t>
  </si>
  <si>
    <t>Diario digital de información, análisis e ideas para lectores críticos. +Q1Diario. Libre e independiente. http://www.elindependientedegranada.es</t>
  </si>
  <si>
    <t>Pedro Sánchez 'El Profeta'.</t>
  </si>
  <si>
    <t>pic.twitter.com/m4mfKWFUkK</t>
  </si>
  <si>
    <t>El presidente del Gobierno es abucheado por cientos de personas que se agolpaban en los aledaños del Congreso</t>
  </si>
  <si>
    <t>http://bit.ly/2QdYdKA</t>
  </si>
  <si>
    <t>Revista MadridistaReal</t>
  </si>
  <si>
    <t>Gooool de Javi Sánchez!!!! Precioso el pase picado de Asensio que cae en Javi Sánchez y bate a Pedro Luis con un toque sutil. 3-0 #MadridistaReal #CopaDelRey</t>
  </si>
  <si>
    <t>#MadridistaReal es una revista deportiva para los aficionados del Real Madrid, que pretende acoger de forma firme y sin ambages los valores madridistas.</t>
  </si>
  <si>
    <t>http://madridistareal.com/</t>
  </si>
  <si>
    <t>Cadena SER Melilla</t>
  </si>
  <si>
    <t>⚽ @realmadrid 3 - 0 @UDMelilla 🏆 Copa del Rey ⌚ 38:00 Golazo de Javi Sánchez. El central recibe un regalo del Asensio y, sin dejarla caer, la mete por encima de Pedro Luis. Malos minutos para la @UDMelilla</t>
  </si>
  <si>
    <t>Te contamos toda la actualidad de Melilla. Escúchanos en FM en el 92.2, en el 1485 de la AM y la APP de Cadena SER.</t>
  </si>
  <si>
    <t>http://play.cadenaser.com/emisora/radio_melilla/?autoplay=true</t>
  </si>
  <si>
    <t>Pamega</t>
  </si>
  <si>
    <t>Antonio de la torre</t>
  </si>
  <si>
    <t>Pedro Sánchez: 79 minutos contra la Trata ·  @MIUI|</t>
  </si>
  <si>
    <t>https://www.facebook.com/Antonio-de-la-torre-30188273940/</t>
  </si>
  <si>
    <t>http://www.antoniodelatorre.es</t>
  </si>
  <si>
    <t>FERNANDO(MÉXICO)</t>
  </si>
  <si>
    <t>Mexico</t>
  </si>
  <si>
    <t>Busco a las personas con valores e ideales, con visión de futuro y fuerza para luchar. Luchare en contra de la tiranía absoluta que oprime a la gran Venezuela.</t>
  </si>
  <si>
    <t>L.Madina ✡✝✡</t>
  </si>
  <si>
    <t>Las Rozas (Madrid)</t>
  </si>
  <si>
    <t>Liberal hasta la médula, con más fuerza que nunca ante este bodrio legal pero ilegítimo. Mi sitio preferido para perderme el paseo marítimo de Tel Aviv.</t>
  </si>
  <si>
    <t>El Diario Vasco</t>
  </si>
  <si>
    <t>http://dozz.es/gdlrj2</t>
  </si>
  <si>
    <t>San Sebastian Spain</t>
  </si>
  <si>
    <t>Información de última hora y noticias de cultura, deportes, tecnología, televisión...y toda la actualidad de Gipuzkoa, Real Sociedad, Gipuzkoa Basket y SD Eibar</t>
  </si>
  <si>
    <t>http://www.diariovasco.com</t>
  </si>
  <si>
    <t>https://pbs.twimg.com/media/DtvphXPW0AYbDkP.jpg</t>
  </si>
  <si>
    <t>http://dlvr.it/QszlHq</t>
  </si>
  <si>
    <t>https://pbs.twimg.com/media/DtvpZCdU0AAFA61.jpg</t>
  </si>
  <si>
    <t>Viralizeed_es</t>
  </si>
  <si>
    <t>Noticia más #viral ahora (ES): Pedro Sánchez llega entre abucheos al Congreso en el dÚ­a del 40 aniversa..</t>
  </si>
  <si>
    <t>Analizamos en tiempo real las redes sociales más relevantes para traerte las noticias, imágenes, vídeos y música más virales del mundo http://es.viralizeed.com</t>
  </si>
  <si>
    <t>http://www.es.viralizeed.com</t>
  </si>
  <si>
    <t>Gaspar Bayo Macias</t>
  </si>
  <si>
    <t>Pedro Sánchez acuerda con Marruecos pagar los estudios a los estudiantes marroquíes</t>
  </si>
  <si>
    <t>https://diariopatriota.com/pedro-sanchez-acuerda-con-marruecos-pagar-los-estudios-a-los-estudiantes-marroquies/</t>
  </si>
  <si>
    <t>JuanPío#iMisión</t>
  </si>
  <si>
    <t>Lobo católico. Separado. Pasión por la música. Ciclista. Conduciendo a mis dos lobatos hacia el Amor infinito de la mano de María ♡ Totus Tuus +</t>
  </si>
  <si>
    <t>Sánchez considera que la irrupción de Vox no moverá a los independentistas a aprobar sus...  vía @_infoLibre</t>
  </si>
  <si>
    <t>https://www.infolibre.es/noticias/politica/2018/12/06/sanchez_considera_que_irrupcion_vox_no_movera_los_independentistas_aprobar_sus_presupuestos_89618_1012.html?utm_source=twitter.com&amp;utm_medium=smmshare&amp;utm_campaign=noticias&amp;rnot=1016864</t>
  </si>
  <si>
    <t>Ni Pedro ni Susana: Al Titanic del PSOE lo ha hundido el plebiscito a VOX de los funcionarios de la Policía, Guardia Civil y Ejércitos</t>
  </si>
  <si>
    <t>http://j.mp/2Ukatrr</t>
  </si>
  <si>
    <t>Metrópoli Abierta</t>
  </si>
  <si>
    <t>La CUP ya prepara un escrache al Consejo de Ministros de Pedro Sánchez en Barcelona, el día 21</t>
  </si>
  <si>
    <t>http://ow.ly/WlsH30mTa2k</t>
  </si>
  <si>
    <t>Medio de comunicación plural e independiente de Barcelona, abierto a todos los vecinos, comerciantes y entidades de la ciudad. http://www.metropoliabierta.com</t>
  </si>
  <si>
    <t>Abucheos a Pedro Sánchez donde las dan las toman</t>
  </si>
  <si>
    <t>Dios</t>
  </si>
  <si>
    <t>¿Os imagináis a Pablo Casado, Pedro Sánchez, Albert Rivera, Pablo Iglesias, Gabriel Rufián y Santiago Abascal pactando una Constitución?</t>
  </si>
  <si>
    <t xml:space="preserve">De Madrid al Cielo </t>
  </si>
  <si>
    <t>Vengo de una familia desestructurada: madre virgen,padre paloma y durmiendo en un pesebre.Autor de La Biblia y Palabra de Dios Tuitero infodiostuitero@gmail.com</t>
  </si>
  <si>
    <t>http://www.megustaleer.com/libros/palabra-de-dios-tuitero/AG14848</t>
  </si>
  <si>
    <t>JM🇪🇸🇪🇸</t>
  </si>
  <si>
    <t>Abucheos a Pedro Sánchez a su llegada al Congreso y larga ovación a los reyes. El único que no lo tiene claro es ZPEDRO. Los españoles lo tenemos muy claro : Que se vaya  vía @20m</t>
  </si>
  <si>
    <t>Tan solo un Español mas y orgulloso de serlo 🇪🇸🇪🇸</t>
  </si>
  <si>
    <t>Sánchez, abucheado durante varios minutos a la entrada del Congreso: "¡Convoca elecciones!"...No os molestéis, mientras nadie pueda echarle, físicamente, "del trono"...los ciudadanos le importan un bledo!</t>
  </si>
  <si>
    <t>https://bit.ly/2UlR2i8</t>
  </si>
  <si>
    <t>LILIA GONZALEZ</t>
  </si>
  <si>
    <t>Quizas seria mejor y mas saludable ocuparse de noticias mas razonables y d interés para el país y dejar de lado los "cotilleos" para manipular a la gente y distraer la atención d la población.</t>
  </si>
  <si>
    <t>Arenys de Mar, España</t>
  </si>
  <si>
    <t>Humanista, pacifista, sensible, romántica, AMO la justicia, la paz, a mis hijos, ESCRIBIR y a DIOS. Adoro la naturaleza, me gustan las personas, los animales...</t>
  </si>
  <si>
    <t>http://www.misnovelas-liliagonzalez.es</t>
  </si>
  <si>
    <t>https://pbs.twimg.com/media/DtvmzkEWwAIT3yR.jpg</t>
  </si>
  <si>
    <t>Negan navideño</t>
  </si>
  <si>
    <t>Pedro Sánchez ya ha logrado el logro y antes de 2019 RT @cai_nyabel: Juguemos, cuál será tu logro en 2019?</t>
  </si>
  <si>
    <t>España mi patria</t>
  </si>
  <si>
    <t>No creo en la política,creo en las personas. Apuesto por la libertad, la honestidad y el esfuerzo frente a la demagogia, la manipulación y la incompetencia</t>
  </si>
  <si>
    <t>INFH NDPNTSM 061218163013 Sánchez aleja el calendario electoral y pedirá una reunión con Torra el 21-D</t>
  </si>
  <si>
    <t>Los Replicantes</t>
  </si>
  <si>
    <t>#FotoDelDia | Abucheos a Pedro Sánchez a su llegada al Congreso por el 40 aniversario de la Constitución</t>
  </si>
  <si>
    <t>http://bit.ly/2KYOhPm</t>
  </si>
  <si>
    <t>https://pbs.twimg.com/media/Dtve8sBX4AQBz6e.jpg</t>
  </si>
  <si>
    <t>Las noticias del futuro. Otra forma de ver la política, la economía, la ciencia, la tele, el cine, la música o la vida</t>
  </si>
  <si>
    <t>http://www.losreplicantes.com</t>
  </si>
  <si>
    <t>La patronal recula y apoya el Plan de Empleo Joven del Gobierno de Sánchez  vía @eldiarioes</t>
  </si>
  <si>
    <t>https://www.eldiario.es/_32402aa2</t>
  </si>
  <si>
    <t>Irene™</t>
  </si>
  <si>
    <t>#Abogado #Madrid #Golf Qué buen vasallo si hubiera buen señor</t>
  </si>
  <si>
    <t>pello salaburu</t>
  </si>
  <si>
    <t>Quienes apoyan la Constitución cargan contra el presidente constitucional</t>
  </si>
  <si>
    <t>https://www.elcorreo.com/40-aniversario-constitucion/pedro-sanchez-lleva-20181206123919-ntrc.html</t>
  </si>
  <si>
    <t>EHUko irakaslea, profesor UPV/EHU. Huntaz ta hartaz saltsatzen du</t>
  </si>
  <si>
    <t>#GoldenGlobes Pedro Sánchez preparando su próximo viaje a Corea del Sur</t>
  </si>
  <si>
    <t>pic.twitter.com/DDue9NEGsg</t>
  </si>
  <si>
    <t>Noticias en Español</t>
  </si>
  <si>
    <t>Momento en el que Pedro Sánchez ha sido abucheado a su llegada al Congreso. Te contamos todo en directo</t>
  </si>
  <si>
    <t>https://buff.ly/2AZY2YP
http://buff.ly/2AUEeWZ</t>
  </si>
  <si>
    <t>https://pbs.twimg.com/media/DtvknWgX4AETj_-.png</t>
  </si>
  <si>
    <t>España y América</t>
  </si>
  <si>
    <t>Todas las noticias en español más importantes del día al alcance de tu dedo. Más últimas horas en @UnaUltimaHora.</t>
  </si>
  <si>
    <t>http://noticiarioespanol.com</t>
  </si>
  <si>
    <t>andrés garcía elbal</t>
  </si>
  <si>
    <t>Sánchez aleja el calendario electoral y pedirá una reunión con Torra el 21-D.</t>
  </si>
  <si>
    <t>https://www.lavanguardia.com/politica/20181206/453397537702/pedro-sanchez-elecciones-reunion-quim-torra-21-de-diciembre.html?utm_campaign=botones_sociales_app</t>
  </si>
  <si>
    <t>angarel - Murcianico (ista la cepa). Socialista sin carnet a pesar de los tiempos. Dejandome querer por las personas queridas. Y cada vez mas ateo.</t>
  </si>
  <si>
    <t>http://elnietodelpalomista.blogspot.com.es/</t>
  </si>
  <si>
    <t>Abucheos a Pedro Sánchez en su llegada al Congreso.</t>
  </si>
  <si>
    <t>http://dlvr.it/QszfBJ</t>
  </si>
  <si>
    <t>https://pbs.twimg.com/media/DtvkWoMUcAI2EFy.jpg</t>
  </si>
  <si>
    <t>¿De qué tiene cara Pedro Pinueve Sánchez? 🤔 #40AñosDeConstitución</t>
  </si>
  <si>
    <t>🐥</t>
  </si>
  <si>
    <t>Contra el fascismo y el sectarismo 🎗️</t>
  </si>
  <si>
    <t>Leo que Pedro Sánchez aprobará por decreto la subida del SMI. Muchos criticando la medida, ¿Orgullo patrio? Lo que son es la vergüenza nacional, hooligans que apoyan a sus partidos por encima del bien común, patriotismo de bandera #JaqueAlRégimenDel78 #40AñosDeConstitución</t>
  </si>
  <si>
    <t>¡¡Porque fueron somos, porque somos serán!! 🏳️‍🌈👨‍❤️‍👨🏳️‍🌈 “La heterosexualidad no es normal, solo es común”. (DorothyParker) ❤️💛💜</t>
  </si>
  <si>
    <t>Jordi S. i Carbonell</t>
  </si>
  <si>
    <t>¿Alguien me explica qué ha hecho el gobierno de Pedro Sánchez esta legislatura? Es para un trabajo.</t>
  </si>
  <si>
    <t>Enguera • València • Madrid</t>
  </si>
  <si>
    <t>Periodismo &amp; Políticas URJC • Director @mirallvalencia • Un nadie más en @nonamekitchen1 y @LCeibes • #RealPolitik • Militant @jovespv 🌟• Hablo 🇪🇸🇬🇧🇮🇹CAT</t>
  </si>
  <si>
    <t>http://revistamirall.com/author/jordisarrion/</t>
  </si>
  <si>
    <t>El Gobierno aprobará en diciembre la subida del salario mínimo fuera del presupuesto, tal y como demandaban los partidos independentistas, entre otros luisbalg</t>
  </si>
  <si>
    <t>https://www.lavanguardia.com/politica/20181206/453397537702/pedro-sanchez-elecciones-reunion-quim-torra-21-de-diciembre.html?utm_source=twitter_lv&amp;utm_medium=social</t>
  </si>
  <si>
    <t>El panorama al que se enfrenta Susana Díaz es demoledor: tendrá que trabajar, dejar las mariscadas a cuenta de los fondos europeos, se le acumulan los documentos que debe triturar para no ir a prisión... Ahora se entiende porqué Pedro Sánchez, el okupa, se aferra al sillón.</t>
  </si>
  <si>
    <t>pic.twitter.com/M6qckkjzts</t>
  </si>
  <si>
    <t>la Begoña del Instituto de Empresa, se localizó a las 15,00 horas atada a la cama para evitar que se colara en el Congreso y eclipsar a los reyes, con sus modelos.</t>
  </si>
  <si>
    <t>Valesia</t>
  </si>
  <si>
    <t>Encuentro la televisión muy educativa. Cada vez que alguien la enciende, me retiro a otra habitación y leo un libro</t>
  </si>
  <si>
    <t>Pepo</t>
  </si>
  <si>
    <t>Pedro Sánchez, en algún momento as defendido todos y cada uno de los artículos de esa constitución viviendas, trabajos, sueldos, pensiones, etc, dignas ? esta claro que ni tú ni tú partido los habéis defendido RT @sanchezcastejon: Un honor participar en el acto por los #40AñosDeConstitución Con las mujeres y hombres protagonistas, junto a la sociedad española, de estos 40 años de democracia, celebramos en la sede de la soberanía popular el espíritu de entendimiento que hizo posible nuestra Constitución.</t>
  </si>
  <si>
    <t>Terrassa  Barcelona</t>
  </si>
  <si>
    <t>Toni Cut</t>
  </si>
  <si>
    <t>Johnnyboy</t>
  </si>
  <si>
    <t>Art Design Photography Architecture Comics GIFs Fashion Fitness Illustration Cinema Music New Talent Science Robotics Dance</t>
  </si>
  <si>
    <t>Murcia, Región de Murcia</t>
  </si>
  <si>
    <t>Ana Martín Plaza</t>
  </si>
  <si>
    <t>Periodista de la web RTVE.es (cuenta absolutamente personal) #defiendeRTVE</t>
  </si>
  <si>
    <t>Gentulayo d baja cama,indignos d extrema derecha procedentes del franquismo,se posicionan en primera fila 4 o 5 horas antes d los actos donde asiste Sanchez,antes ZP para con tropetas y voces d burro,abuchearle pero da igual, cuanto mas rebuznan,Pedro mas sube en intención d voto</t>
  </si>
  <si>
    <t>Pedro Sánchez, sobre la posibilidad de elecciones en marzo: "Seguiremos trabajando y gobernando"  Digital con información global y notícias periódicas de los municipios de San Antonio Benagéber, Eliana, Pobla de Vallbona, Bétera, Riba-roja, Benaguasil, Se…</t>
  </si>
  <si>
    <t>https://cronicadigitalcomarcalp.blogspot.com/2018/12/pedro-sanchez-sobre-la-posibilidad-de.html</t>
  </si>
  <si>
    <t>https://pbs.twimg.com/media/Dtvik4RWsAAZfDt.jpg</t>
  </si>
  <si>
    <t>Football 24/7</t>
  </si>
  <si>
    <t>Real Madrid XI: Keylor Navas; Odriozola, Vallejo, Javi Sánchez, Carvajal; Fede Valverde, Marcos Llorente, Isco; Asensio, Mariano, Vinicius. Melilla XI: Pedro Luis; Romero, Mahanan, Richi, Jilmar; Ruano, Ortega, Menudo, Óscar García; Mizzian, Yacine. #CopaDelRey</t>
  </si>
  <si>
    <t>https://pbs.twimg.com/media/DtvidGeWsAAJUTW.jpg</t>
  </si>
  <si>
    <t>Amsterdam, Lyon, Zárate</t>
  </si>
  <si>
    <t>Cruyffian football is a dance for space https://twitter.com/Foetbal247TBG e-mail: football24-7@live.com #StayStrongAppie</t>
  </si>
  <si>
    <t>http://foetbal247.com/</t>
  </si>
  <si>
    <t>Abucheos y pitos a Pedro Sánchez a las puertas del Congreso en el 6-D  via @elespanolcom</t>
  </si>
  <si>
    <t>tyson</t>
  </si>
  <si>
    <t>José Luis Rojas Lancelot</t>
  </si>
  <si>
    <t>Sánchez aleja el calendario electoral y pedirá una reunión con Torra el 21-D @lavanguardia</t>
  </si>
  <si>
    <t>http://shr.gs/gWXjNyH</t>
  </si>
  <si>
    <t>El Gobierno aprobará en diciembre la subida del salario mínimo fuera del presupuesto, tal y como demandaban los partidos independentistas, entre otros @luisbalg</t>
  </si>
  <si>
    <t>carolina molina</t>
  </si>
  <si>
    <t>Pedro Sánchez: Un impulso constitucional para el cambio de época</t>
  </si>
  <si>
    <t>http://dlvr.it/QszZzc</t>
  </si>
  <si>
    <t>https://pbs.twimg.com/media/DtvhQ-ZU4AEMimu.jpg</t>
  </si>
  <si>
    <t>Ciudad de México</t>
  </si>
  <si>
    <t>Curiosona ^ - #TEAMFOLLOWBACK #FollowBackSeguro #SIGOYRECOMIENDO</t>
  </si>
  <si>
    <t>Lou ® ©™🏧</t>
  </si>
  <si>
    <t>Todo el Reino Unido en sí ya es un "Pedro Sánchez" a la inglesa. RT @eSPAINews: Theresa May admite la posibilidad de que "no haya #Brexit".</t>
  </si>
  <si>
    <t>https://twitter.com/eSPAINews/status/1070659882393706496
https://www.abc.es/internacional/abci-theresa-admite-primera-posibilidad-no-haya-brexit-201812061315_noticia_amp.html?__twitter_impression=true</t>
  </si>
  <si>
    <t>Todavía en construcción. Dentro de 50 años rellenaré esta casilla con datos exactos. Y si hago algo fuera de lo común, lo indicaré en wikipedia.</t>
  </si>
  <si>
    <t>Asgor Reidaa</t>
  </si>
  <si>
    <t>Utebo, España</t>
  </si>
  <si>
    <t>Marta Colomina</t>
  </si>
  <si>
    <t>Artículo escrito por Felipe González en abril d 2017.Ojalá lo leyera su inescrupuloso compañero d partido Pedro Sánchez, otro "Zapatero" a favor de Maduro : "Análisis | El paso definitivo de la trama totalitaria; por Felipe González Márquez  vía @el_pais</t>
  </si>
  <si>
    <t>https://elpais.com/elpais/2017/04/01/opinion/1491042198_714238.html?id_externo_rsoc=TW_CC</t>
  </si>
  <si>
    <t>Combatiendo desde casa</t>
  </si>
  <si>
    <t>Periodista egresada de LUZ y profesora jubilada de la misma universidad.</t>
  </si>
  <si>
    <t>Jose Antonio Garcia Cinesa</t>
  </si>
  <si>
    <t>El cis se ha vuelto a equivocar le han dado el balon de oro a modric y no a pedro sanchez</t>
  </si>
  <si>
    <t>hala madrid y nada mas</t>
  </si>
  <si>
    <t>Entrevista | Pedro Sánchez: “A los independentistas les da igual el modelo de Estado, quieren ir contra el ser de España” @elpais_espana  #6D #40añosdeConstitución #ReformaConstitución #Igualdad #TratadoDeUtrech #ReinoUnido #Brexit #Gibraltar #España</t>
  </si>
  <si>
    <t>http://www.multiforo.eu/Noticias/2018/Diciembre/Diciembre_06.htm</t>
  </si>
  <si>
    <t>MARÍA RODRÍGUEZ</t>
  </si>
  <si>
    <t>No me extraña que no se quiera bajar del Falcon y del Puma, cada vez que pone pies en tierra lo piropean. Un tal Pedro Sánchez, bajó del coche oficial(por cierto expulsa CO2) y le piropearon:los silbidos se oyeron en Asturias</t>
  </si>
  <si>
    <t>MAS PP. MAS VOX.</t>
  </si>
  <si>
    <t>Cuarenta años de progreso, por Pedro Sánchez  SI Y 6 MESES TULLOS Y RUINA PARO Y MAS GENTUZAS EN ESPAÑA</t>
  </si>
  <si>
    <t>https://www.larazon.es/espana/cuarenta-anos-de-progreso-por-pedro-sanchez-FP20854023</t>
  </si>
  <si>
    <t>Hellin</t>
  </si>
  <si>
    <t>ESPAÑA CON MÁS DE 500 AÑOS Y LA QUIEREN DESTRUIR. POR LA DEFENSA DE NUESTRA CULTURA LAS AUTONOMIAS SON UNA RUINA FUERA. TIEMPOS MALOS DEL 34 Y 36</t>
  </si>
  <si>
    <t>jun면~love shot</t>
  </si>
  <si>
    <t>PEDRO SANCHEZ DAME WL DINERO DE LA BECA YA PARA CIMLRARME ESTE DISCO</t>
  </si>
  <si>
    <t>ot9♡</t>
  </si>
  <si>
    <t>wherever we go will be heaven if exo and exo-l are together~♡</t>
  </si>
  <si>
    <t>https://curiouscat.me/yellowdaee</t>
  </si>
  <si>
    <t>José Carlos Díez</t>
  </si>
  <si>
    <t>El 74% de los franceses desaprueba a Macron. Ya está como Pedro Sánchez o estaba Rajoy. Europa sin liderazgo y sin proyecto RT @EuropeElects: France, Elabe poll: President Macron Approval Rating Approve: 23% (-4) Disapprove: 74% (+5) Field work: 4/12/18 – 5/12/18 Sample size: 1,002</t>
  </si>
  <si>
    <t>https://twitter.com/EuropeElects/status/1070682026615996416</t>
  </si>
  <si>
    <t>Padre y #Economista Observador. No siempre políticamente correcto. #economía Mi canal de Telegram🚀 es:http://t.me/josecarlosdiezl…</t>
  </si>
  <si>
    <t>http://jcdiez.com</t>
  </si>
  <si>
    <t>Pedro Sánchez comunica al PSOE dos fechas para las elecciones  vía @EconomiaED_</t>
  </si>
  <si>
    <t>https://www.economiadigital.es/politica-y-sociedad/pedro-sanchez-comunica-al-psoe-dos-fechas-para-las-elecciones_592733_102.html</t>
  </si>
  <si>
    <t>Mariona Reig Massot</t>
  </si>
  <si>
    <t>Sánchez aleja el calendario electoral y pedirá una reunión con Torra el 21-D</t>
  </si>
  <si>
    <t>http://shr.gs/oyvM3oG</t>
  </si>
  <si>
    <t>Palafrugell</t>
  </si>
  <si>
    <t>Mestra jubilada de l'Escola Vedruna de Palafrugell. Casada i mare.</t>
  </si>
  <si>
    <t>VAVIOL</t>
  </si>
  <si>
    <t>España. MADRID</t>
  </si>
  <si>
    <t>Politóloga, Abogada.</t>
  </si>
  <si>
    <t>Progrestona🎗️🧕 ☭</t>
  </si>
  <si>
    <t>Abucheos y pitidos a Pedro Sánchez. La gente grita: España no te quiere! Okupa de la...</t>
  </si>
  <si>
    <t>http://youtu.be/nFoCtsJ5szw?a</t>
  </si>
  <si>
    <t>Cule Podemita, Borde Progre Comunista. De la Repubica Separatista, la culpa es de Franco, Que te Calles Facha Islamofobobo. Feminazi con Burka🧕 a Tiempo Parcial</t>
  </si>
  <si>
    <t>https://www.youtube.com/channel/UCl-_iYBzcBZvjEoHp81MlUg</t>
  </si>
  <si>
    <t>http://dlvr.it/QszXpm</t>
  </si>
  <si>
    <t>https://pbs.twimg.com/media/DtvfFmZVYAASvTc.jpg</t>
  </si>
  <si>
    <t>Podemos León</t>
  </si>
  <si>
    <t>Ana Marcello Santos: "Si el Gobierno de Pedro Sánchez esta dispuesto a llevar a votación los Presupuestos, que no se olvide de las necesidades de nuestra provincia, que no siga dejando a León...</t>
  </si>
  <si>
    <t>https://www.leonoticias.com/comarcas/podemos-lleva-congreso-20181205202702-nt.html</t>
  </si>
  <si>
    <t>Es hora de que se escuche la voz de la gente, entre tod@s Podemos cambiar las cosas. Participa en tu círculo y hazlo tuyo. http://www.podemosleon.info</t>
  </si>
  <si>
    <t>http://www.facebook.com/podemosleon</t>
  </si>
  <si>
    <t>Yo creo que la verdadera razón del Pedro para no convocar E. G. es el saber que en cuanto eso ocurra, saldrá de la Moncloa y la Bego le dará una buena zurra: ¡¡¡Sánchez se agarra a la abstención del PDeCAT en los Presupuestos para seguir sin elecciones</t>
  </si>
  <si>
    <t>https://okdiario.com/espana/2018/12/06/sanchez-agarra-abstencion-del-pdecat-presupuestos-seguir-sin-elecciones-3435669#.XAk43pV_PMw.twitter</t>
  </si>
  <si>
    <t>Maria Jose</t>
  </si>
  <si>
    <t>Recoge lo que sembró!!! ▶️ Abucheos a Pedro Sánchez en su llegada al Congreso  Enviado desde @updayESP</t>
  </si>
  <si>
    <t>https://f7td5.app.goo.gl/16iW9</t>
  </si>
  <si>
    <t>ideal_almeria</t>
  </si>
  <si>
    <t>https://www.ideal.es/40-aniversario-constitucion/pedro-sanchez-lleva-20181206123919-ntrc.html</t>
  </si>
  <si>
    <t>Diario local con toda la información de Almería y su provincia.</t>
  </si>
  <si>
    <t>http://www.ideal.es/almeria</t>
  </si>
  <si>
    <t>ideal_jaen</t>
  </si>
  <si>
    <t>Diario local con toda la información de Jaén y su provincia.</t>
  </si>
  <si>
    <t>http://www.ideal.es/jaen</t>
  </si>
  <si>
    <t>ideal_granada</t>
  </si>
  <si>
    <t>Diario local con toda la información de Granada y su provincia.</t>
  </si>
  <si>
    <t>http://www.ideal.es</t>
  </si>
  <si>
    <t>RDS 91.1 FM</t>
  </si>
  <si>
    <t>El presidente del Gobierno de España, Pedro Sánchez, aseguró este martes que estaría dispuesto a suprimir la inviolabilidad del rey Felipe VI de España.</t>
  </si>
  <si>
    <t>https://pbs.twimg.com/media/Dtve0KkX4AEwItQ.jpg</t>
  </si>
  <si>
    <t>VALERA TRUJILLO</t>
  </si>
  <si>
    <t>Marcando la diferencia en radio. #SintonizalaEnTuMente</t>
  </si>
  <si>
    <t>http://www.rdsfm.com.ve</t>
  </si>
  <si>
    <t>Real Madrid News</t>
  </si>
  <si>
    <t>#RealMadrid XI: Keylor Navas; Odriozola, Vallejo, Javi Sánchez, Carvajal; Fede Valverde, Marcos Llorente, Isco; Asensio, Mariano, Vinicius. #Melilla XI: Pedro Luis; Romero, Mahanan, Richi, Jilmar; Ruano, Ortega, Menudo, Óscar García; Mizzian, Yacine. #CopaDelRey</t>
  </si>
  <si>
    <t>Sigue en directo todos los partidos del Real Madrid #HalaMadrid</t>
  </si>
  <si>
    <t>Mane</t>
  </si>
  <si>
    <t>Cuando leáis que el @psoeazuqueca y el Alcalde @JL_Blanco apoya a estudiantes, jóvenes y bla bla bla... MENTIRA Ellos valoran el esfuerzo y el aprendizaje según aplaudan de fuerte a Okupa Pedro Sánchez. Claro que... Viendo el nivel del Equipo de Gobierno de #Azuqueca...🤐🤐 RT @PPAzuqueca: 👉🏽 El Jueves pasado en el Pleno , @psoeazuqueca fue el único grupo que decidió no apoyar un reconocimiento a 2 historiadoras de #Azuqueca @dramarialara @dralauralara 🤷🏾‍♂️ Hoy el Alcalde presume de embajadora por hacerse una foto con el " Doctor Sánchez " Cuestión de prioridades.</t>
  </si>
  <si>
    <t>https://twitter.com/PPAzuqueca/status/1070691126003286016
https://twitter.com/aurehormaechea/status/1070684969377370112</t>
  </si>
  <si>
    <t>Derecho . Series, fútbol , películas .... A veces , solo a veces política... Cada decisión que tome dará forma a mi destino. Personal. España.</t>
  </si>
  <si>
    <t>▶️ Abucheos a Pedro Sánchez en su llegada al Congreso y larga ovación a los Reyes.  Enviado desde @updayESP</t>
  </si>
  <si>
    <t>https://f7td5.app.goo.gl/3e1Pd</t>
  </si>
  <si>
    <t>PThornasol</t>
  </si>
  <si>
    <t>#40AñosDeConstitución y Pedro Sánchez Lastra la celebración</t>
  </si>
  <si>
    <t>Ciudadano del Mundo</t>
  </si>
  <si>
    <t>https://www.eldiario.es/politica/Pedro-Sanchez-posibilidad-elecciones-Seguiremos_0_843416005.html</t>
  </si>
  <si>
    <t>Pedro Sánchez descarta elecciones en marzo pero abre la puerta a mayo @KettyGarat  vía @libertaddigital</t>
  </si>
  <si>
    <t>Twitter oficial de la agencia de noticias Europa Press de Andalucía</t>
  </si>
  <si>
    <t>http://www.europapress.es/andalucia/</t>
  </si>
  <si>
    <t>➡️Tremenda pitada a Pedro Sánchez en los actos de la Constitución 👉  vía @Elmunicipio.es - Por una sociedad de hombres libres</t>
  </si>
  <si>
    <t>https://elmunicipio.es/2018/12/tremenda-pitada-a-pedro-sanchez/</t>
  </si>
  <si>
    <t>Abucheo de campeonato a Pedro Sánchez, presidente de rebote gracias a quienes quieren acabar con el régimen constitucional y fracturar España. España no se merece a este payaso. #40AñosDeConstitución</t>
  </si>
  <si>
    <t>Pedro Sánchez, sobre la posibilidad de elecciones en marzo: “Seguiremos trabajando y gobernando”</t>
  </si>
  <si>
    <t>http://www.veoinfo.com/pedro-sanchez-sobre-la-posibilidad-de-elecciones-en-marzo-seguiremos-trabajando-y-gobernando/</t>
  </si>
  <si>
    <t>https://pbs.twimg.com/media/DtvcureVYAAJMbZ.jpg</t>
  </si>
  <si>
    <t>Segun la ministra de dste gobierno ilegal del dictador pedro sanchez dstos terroristas representan a lis partidos que esta ministra dice ser democráticos RT @voz_populi: ⏯ Los CDR revientan un acto de Vox por la Constitución en Gerona</t>
  </si>
  <si>
    <t>A este okupa hay que mandar la Guardia Civil,para sacarlo.Y ya sabes mayoría absoluta al PP,sino se juntan los antiespañoles Pedro Sánchez descarta elecciones en marzo pero abre la puerta a mayo , por @KettyGarat  vía @libertaddigital</t>
  </si>
  <si>
    <t>Pedro Sánchez descarta elecciones en marzo pero abre la puerta a mayo. Cuando marzo mayea, mayo marcea por si las moscas, cubriendo todos los frentes.</t>
  </si>
  <si>
    <t>Pedro Sánchez descarta elecciones en marzo pero abre la puerta a mayo</t>
  </si>
  <si>
    <t>http://dlvr.it/QszRzS</t>
  </si>
  <si>
    <t>👏👏👏👏👏👏👏👏👏👏👏👏👏▶️ Abucheos a Pedro Sánchez en su llegada al Congreso  Enviado desde @updayESP</t>
  </si>
  <si>
    <t>EXTREMO DERECHO EXTREMO</t>
  </si>
  <si>
    <t>ESPAÑOL 🇪🇸 MADRIDISTA 🏆 Mourinho-zidanista; los principios de Mou, los métodos de Zizou.</t>
  </si>
  <si>
    <t>http://www.tabarnia.es</t>
  </si>
  <si>
    <t>Pedro Sánchez y el respeto a la propiedad industrial e intelectual... del todo inconcebible que su tesis haya sido un plagio... RT @PhilAMellows: La madre que me parió. ¿Esto es verdad?</t>
  </si>
  <si>
    <t>https://twitter.com/PhilAMellows/status/1070684825193979905
https://twitter.com/Angelcostalero/status/1070683521218461697</t>
  </si>
  <si>
    <t>m.</t>
  </si>
  <si>
    <t>Pedro Sánchez tiene una misión y es mandar a las tropas a invadir Suecia por la crisis que acaban de crear en España #OTDirecto6DIC</t>
  </si>
  <si>
    <t>forever devoted to the kingdom of monsters.</t>
  </si>
  <si>
    <t>http://gagathesats.tumblr.com</t>
  </si>
  <si>
    <t>María Fernanda.</t>
  </si>
  <si>
    <t>Si Pedro Sánchez no es el presidente más papacito, pega en el palo😍</t>
  </si>
  <si>
    <t>CLUB DEPORTIVO CALI💚|| LIONEL ANDRÉS MESSI🔴 ||✈Resiliencia ||💪Siempre fuertes || MakeupLover 💄👑</t>
  </si>
  <si>
    <t>http://www.facebook.com/MaferRamirez23</t>
  </si>
  <si>
    <t>Pedro Sánchez y el respeto a la propiedad industrial e intelectual... del todo inconcebible que su tesis haya sido un plagio... RT @Angelcostalero: @PhilAMellows Qué morrazo y qué pronto han aprendido del doctor Cum-Fraude</t>
  </si>
  <si>
    <t>Alex el Rojo</t>
  </si>
  <si>
    <t>"Fuera, fuera": pitos y abucheos a Pedro Sánchez a su llegada al Congreso para el acto del Día de la Constitución  Vía @eldiarioes</t>
  </si>
  <si>
    <t>https://pbs.twimg.com/media/DtvZLGnXQAAuCMq.jpg</t>
  </si>
  <si>
    <t>Politólogo, historiador y escritor, pero sólo en mi imaginación.</t>
  </si>
  <si>
    <t>Pedro Sánchez descarta elecciones en marzo pero abre la puerta a mayo. En conversación informal con periodistas ha dicho ver más probable “el consorcio de derechas en Andalucía” que la repetición de elecciones.</t>
  </si>
  <si>
    <t>Pedro Sánchez, sobre la posibilidad de elecciones en marzo: "Seguiremos trabajando y gobernando"  Por @irecr</t>
  </si>
  <si>
    <t>"Fuera, fuera": pitos y abucheos a Pedro Sánchez a su llegada al Congreso para el acto del Día de la Constitución</t>
  </si>
  <si>
    <t>https://ift.tt/2GfaHNN</t>
  </si>
  <si>
    <t>bet365_es</t>
  </si>
  <si>
    <t>El once del Real Madrid: Keylor Navas, Carvajal, Vallejo, Javi Sánchez, Odriozola, Llorente, Valverde, Isco, Asensio, Vinicius y Mariano. El once del Melilla: Pedro Luis, Romero, Mahanan, Richi, Jilmar, Ortega, Menudo, Ruano, Óscar García, Mizzian y Yacine.</t>
  </si>
  <si>
    <t>El grupo líder mundial en apuestas deportivas en línea, Casino, Póquer y Tragaperras. Seguidores (18+).Juega responsablemente. http://bit.ly/Responsable</t>
  </si>
  <si>
    <t>http://www.bet365.es</t>
  </si>
  <si>
    <t>La esposa de Pedro Sánchez, pese a estar cobrando -desde el pasado mes de septiembre- la abultada nómina que se aproxima a los 6.000 € mensuales lo cierto es que en contadísimas ocasiones se la ha visto en su puesto de trabajo.</t>
  </si>
  <si>
    <t>http://feeds.periodistadigital.com/~r/PDPortada/~3/j8s_vf3JwEU/begona-gomez-6-000-euros-de-nomina-mensual-de-una-empresa-en-la-que-no-trabaja.shtml</t>
  </si>
  <si>
    <t>Alberto Moyano</t>
  </si>
  <si>
    <t>De la celebración de hoy en el Congreso, extraigo una conclusión: también Pedro Sánchez y Pablo Casado saldrán algún día de otros fastos charlando amigablemente.</t>
  </si>
  <si>
    <t>Donostia-San Sebastián</t>
  </si>
  <si>
    <t>Periodista en EL DIARIO VASCO. Despreocupado pero no indiferente.</t>
  </si>
  <si>
    <t>http://blogs.diariovasco.com/eljukebox</t>
  </si>
  <si>
    <t>Somos Tenerife</t>
  </si>
  <si>
    <t>http://dlvr.it/QszPJy</t>
  </si>
  <si>
    <t>https://pbs.twimg.com/media/DtvWZV-VAAYr0xH.jpg</t>
  </si>
  <si>
    <t>Tenerife, Canarias. España.</t>
  </si>
  <si>
    <t>Joven, ha llegado Somos Tenerife #SomosTenerife #SomosCanarias #Canarias</t>
  </si>
  <si>
    <t>Cristina Mendez</t>
  </si>
  <si>
    <t>Joe hoy no veo a nadie criticando que Pedro Sánchez quiera subir la tasa de beneficio de un 35 a un 50%, que puestos en política estáis todos jajaajjajajajajajaj</t>
  </si>
  <si>
    <t>Matapozuelos, España</t>
  </si>
  <si>
    <t>soy el humo de una vida mal apagada</t>
  </si>
  <si>
    <t>https://www.elconfidencial.com/espana/2018-12-06/pedro-sanchez-constitucion-pitos-abucheos-afinsa-forum-filatelico_1690530/?utm_source=twitter&amp;utm_medium=social&amp;utm_campaign=ECDiarioManual</t>
  </si>
  <si>
    <t>Victor Arribas</t>
  </si>
  <si>
    <t>Abucheos.</t>
  </si>
  <si>
    <t>Onda Cero (1990-2004) Telemadrid (2004-2012) TRECE (2012-2013) 24 horas-TVE (2016-2018)</t>
  </si>
  <si>
    <t>Flor Blanco</t>
  </si>
  <si>
    <t>Oviedo / Asturias.</t>
  </si>
  <si>
    <t>Amante de la familia, la buena gente, los animales, y la naturaleza.</t>
  </si>
  <si>
    <t>Larga ovación a la Familia Real y abucheos a Pedro Sánchez, Zapatero y Grande-Marlaskaa a su llegada al Congreso. Han sido recibidos con gritos de "fuera, fuera". #ConstituciónEspañola #DiaDeLaConstitucion #Constitución40</t>
  </si>
  <si>
    <t>https://youtu.be/xdXgMv2xa8s</t>
  </si>
  <si>
    <t>oriol vives🎗</t>
  </si>
  <si>
    <t>Vaaaaya Vaaaaya! En el aniversario de la constitución pitan a Pedro Sanchez y ZP y aplauden a Rajoy y Aznar...pero no es una constitución hecha por y para los fachas!</t>
  </si>
  <si>
    <t>no em busqueu explicació!</t>
  </si>
  <si>
    <t>Felipe Vaquerizo</t>
  </si>
  <si>
    <t>Está la cosa caliente.......</t>
  </si>
  <si>
    <t>http://ondace.ro/1ctc61</t>
  </si>
  <si>
    <t>Miguelturra, España</t>
  </si>
  <si>
    <t>Vendedor-Informático-Percusionista</t>
  </si>
  <si>
    <t>http://pipeysutrupe.blogspot.com</t>
  </si>
  <si>
    <t>JoLRubio</t>
  </si>
  <si>
    <t>Abucheos para Pedro Sánchez y para Zapatero, y vítores para Aznar y Rajoy, convoca ya elecciones para que los españoles te podamos enviar a la mierda. #40AñosDeConstitución</t>
  </si>
  <si>
    <t>Apasionado por la sociedad Española, valores, principios, tradiciones, creencias, familia, orden, y todo lo que nos haga mejorar como personas. Centro Derecha.</t>
  </si>
  <si>
    <t>Bicharraco Enfurecido ㋡ Lateral (Extremo) Derecha</t>
  </si>
  <si>
    <t>A los que hoy abucheaban a Pedro Sánchez a la salida del Congreso no les entrevisto el CIS para la encuesta. #PedroSánchezNoEsMiPresidente #PedroSánchezNoNosRepresenta #EleccionesYa.</t>
  </si>
  <si>
    <t>bichofurioso@gmail.com</t>
  </si>
  <si>
    <t>Comentando la actualidad; el que no entienda la ironía y el sarcasmo, que pase de largo. Todo lo aquí escrito es de broma. Venimos a reírnos. Sentido común.</t>
  </si>
  <si>
    <t>Barcelona Via Fora - ENG</t>
  </si>
  <si>
    <t>La Guardia Civil denuncia: "Pedro Sánchez impide investigar a los golpistas y la corrupción del PSOE"  vía @Periodistadigit</t>
  </si>
  <si>
    <t>https://www.periodistadigital.com/politica/gobierno/2018/07/31/la-guardia-civil-denuncia-pedro-sanchez-impide-investigar-a-los-golpistas-y-la-corrupcion-del-psoe.shtml</t>
  </si>
  <si>
    <t>Barcelona, new autonomous community As Catalan secessionists' dream was incubated in a media cocoon, we debunk their 'Wonderland' lies with news/facts</t>
  </si>
  <si>
    <t>http://www.bcnviafora.com/</t>
  </si>
  <si>
    <t>estilete #YoSolo</t>
  </si>
  <si>
    <t>Pero como manipuláis. Si dice el Tezanos que el mierda del #DrCumFraude va a arrasar en las urnas.</t>
  </si>
  <si>
    <t>#INDEPENDIENTE Nunca apostaré por nada que no sea la vida y la libertad #SaldremosSinAyuda</t>
  </si>
  <si>
    <t>P. Tinto</t>
  </si>
  <si>
    <t xml:space="preserve">Tabarnia </t>
  </si>
  <si>
    <t>Antiindependentista. De izquierdas. Independentismo = Ultraderecha</t>
  </si>
  <si>
    <t>Emilio Acosta :.</t>
  </si>
  <si>
    <t>Móstoles, España</t>
  </si>
  <si>
    <t>Born in Tenerife, Spain, lived in Venezuela 25 years, Now in Madrid, Drummer, M:. G° 3°, Tax Administrator, Madridista, Historian, Numismatic. Libertarian.</t>
  </si>
  <si>
    <t>https://www.instagram.com/izzyemilio/</t>
  </si>
  <si>
    <t>Carlos Jiménez Lerma</t>
  </si>
  <si>
    <t>El mundo al revés los aplausos se los lleva Casado que quiere dinamitar la Constitución pactando con vox. Preocupante que a estos actos solo valla la derecha</t>
  </si>
  <si>
    <t>https://www.diariosur.es/40-aniversario-constitucion/pedro-sanchez-lleva-20181206123919-ntrc.html</t>
  </si>
  <si>
    <t>Málaga, Andalucía, España</t>
  </si>
  <si>
    <t>Licenciado en Historia. Cofrade de @HdadSagradaCena y @HPrendimuento. Publico en @marchasdemalaga. Escribo en @paliodeplata. Coleccionista música procesional.</t>
  </si>
  <si>
    <t>http://analisisopina.blogspot.com.es/?m=0</t>
  </si>
  <si>
    <t>Sánchez, abucheado durante varios minutos a la entrada del Congreso: "¡Convoca elecciones!"</t>
  </si>
  <si>
    <t>https://www.google.es/amp/s/www.libertaddigital.com/espana/politica/2018-12-06/abuheo-general-a-pedro-sanchez-convoca-elecciones-1276629479/amp.html</t>
  </si>
  <si>
    <t>Pedro Sánchez: Un impulso constitucional para el cambio de época  vía @ABCespana El plagiador #DrCumFraude embustero total, hoy dice esto. Mañana se pegará a los golpistas, etarras y perroflautas para decir lo contario.</t>
  </si>
  <si>
    <t>https://www.abc.es/espana/abci-pedro-sanchez-impulso-constitucional-para-cambio-epoca-201812060240_noticia.html#ns_campaign=rrss-inducido&amp;ns_mchannel=abc-es&amp;ns_source=tw&amp;ns_linkname=noticia-foto&amp;ns_fee=0</t>
  </si>
  <si>
    <t>nucelar</t>
  </si>
  <si>
    <t>Pitos a Pedro Sánchez y alabanzas a Aznar. Resume bastante bien lo que es España.</t>
  </si>
  <si>
    <t>A normal Denny's, Spires-like coffee shop in Los Angeles. It's about 9:00 in the morning.</t>
  </si>
  <si>
    <t>Revista Siempre!</t>
  </si>
  <si>
    <t>La constitución española cumple 40 años, y en la celebración estuvieron los reyes eméritos Don Juan Carlos I y Doña Sofía, y el presidente del Gobierno, Pedro Sánchez. 🇪🇦 Vía --&gt; @elimparciales</t>
  </si>
  <si>
    <t>http://bit.ly/2rlPYNP</t>
  </si>
  <si>
    <t>Revista fundada el 27 de junio de 1953, icono y referente del periodismo plural mexicano.</t>
  </si>
  <si>
    <t>http://www.siempre.com.mx</t>
  </si>
  <si>
    <t>De 2016. El peligroso desafío de Pedro Sánchez  vía @mehuelea</t>
  </si>
  <si>
    <t>http://josesimongracia.es/el-peligroso-desafio-de-pedro-sanchez/</t>
  </si>
  <si>
    <t>El sentido común sería elecciones Generales en Mayo 2919..... Pedro Sánchez comunica al PSOE dos fechas para las elecciones</t>
  </si>
  <si>
    <t>LONDRES TV</t>
  </si>
  <si>
    <t>#6Dic El presidente del Gobierno de España, Pedro Sánchez, aseguró este martes que estaría dispuesto a suprimir la inviolabilidad del rey Felipe VI de España. A pocos días de la celebración del 40 aniversario de la Constitución del país .</t>
  </si>
  <si>
    <t>http://londrestv.com/index.php/news2/510-presidente-de-espana-abogo-por-eliminar-la-inviolabilidad-de-felipe-vi</t>
  </si>
  <si>
    <t>https://pbs.twimg.com/media/DtvPsbeXQAUZnZs.jpg</t>
  </si>
  <si>
    <t>Somos un medio de comunicación, integrado por un equipo de trabajo comprometido en un solo propósito: ¡INFORMAR! 📰#LondresTV Síguenos en 📷: @londrestv</t>
  </si>
  <si>
    <t>http://www.londrestv.com</t>
  </si>
  <si>
    <t>Desdemicasina</t>
  </si>
  <si>
    <t>Salen a luz una declaraciones de Pedro Sánchez a la Bego: "¡Quién iba a decirle al futuro que íbamos a llegar nosotros!"</t>
  </si>
  <si>
    <t>En el mundo mundial</t>
  </si>
  <si>
    <t>Mi partido político todavia no se ha creado y el tío al que yo vote aún no ha nacido</t>
  </si>
  <si>
    <t>Queen999</t>
  </si>
  <si>
    <t>Pedro Sanchez esta demacrado A mi el poder no me envejece......lo q envejece es el agujero negro</t>
  </si>
  <si>
    <t>pic.twitter.com/oOaRS4ZryK</t>
  </si>
  <si>
    <t>Olimpo</t>
  </si>
  <si>
    <t>👑 Ei bitch I'm la puta ama. #chupadmeelchups No te quedes con el disgusto....quedate con todo</t>
  </si>
  <si>
    <t>José Antonio Rodrigo</t>
  </si>
  <si>
    <t>Pues no está nada mal la reflexión. Principalmente si se tiene en cuenta que el rey y Otegi apoyan a Pedro Sánchez. RT @WillyTolerdoo: Unos aplauden a Felipe VI y otros a Otegi.</t>
  </si>
  <si>
    <t>https://twitter.com/WillyTolerdoo/status/1070672296409526272</t>
  </si>
  <si>
    <t>“Fuera, fuera”: pitos y abucheos a Pedro Sánchez a su llegada al Congreso para el acto del Día de la Constitución</t>
  </si>
  <si>
    <t>http://www.veoinfo.com/fuera-fuera-pitos-y-abucheos-a-pedro-sanchez-a-su-llegada-al-congreso-para-el-acto-del-dia-de-la-constitucion/</t>
  </si>
  <si>
    <t>https://pbs.twimg.com/media/DtvPWMUU8AE2dW8.jpg</t>
  </si>
  <si>
    <t>Menorca.info</t>
  </si>
  <si>
    <t>Pedro Sánchez considera que reformar la Constitución supondría reforzarla</t>
  </si>
  <si>
    <t>https://buff.ly/2UjLxAh</t>
  </si>
  <si>
    <t>https://pbs.twimg.com/media/DtvO74KXQAAEuDW.jpg</t>
  </si>
  <si>
    <t>Edición digital del diario Menorca, con la información más completa de la Isla y abierta a la participación.</t>
  </si>
  <si>
    <t>http://www.menorca.info</t>
  </si>
  <si>
    <t>Jesús Mayoral 🇪🇸🇪🇸🇪🇺</t>
  </si>
  <si>
    <t>Por lo visto sólo había gente de " extrema derecha " 😌😌</t>
  </si>
  <si>
    <t>Capricornio del 73, Zaragozano, Aragonés y Español.</t>
  </si>
  <si>
    <t>JARRYELSUSIO</t>
  </si>
  <si>
    <t>"Fuera, fuera": pitos y abucheos a Pedro Sánchez a su llegada al Congreso para el acto del Día de la Constitución. ¡El facherío rebuzna!</t>
  </si>
  <si>
    <t>Pasajero de los sueños, orfebre de las sombras, navegante de oceanos muertos.</t>
  </si>
  <si>
    <t>ALEXANDER MALAGA</t>
  </si>
  <si>
    <t>Adrián Vaca Guzmán</t>
  </si>
  <si>
    <t>Pedro Sánchez alienta el debate sobre la inviolabilidad del rey en España  vía @rubencarcelle @ActualidadRT</t>
  </si>
  <si>
    <t>https://youtu.be/2hRIGE0NpNo</t>
  </si>
  <si>
    <t>Mercados Financieros</t>
  </si>
  <si>
    <t>PERIODISTA FINANCIERO / Co-Fundador, Director y Responsable de Comunicación @BlogLCDD Analista de Mercados #Trading #MercadosFinancieros #MercadoEuropeo</t>
  </si>
  <si>
    <t>http://www.loscaballerosdeldinero.com</t>
  </si>
  <si>
    <t>Me ha gustado un vídeo de @YouTube ( - Pedro Sánchez alienta el debate sobre la inviolabilidad del rey en</t>
  </si>
  <si>
    <t>http://youtu.be/2hRIGE0NpNo?a</t>
  </si>
  <si>
    <t>Ovación y aplausos a los Reyes, Pedro Sánchez abucheado a la entrada del Congreso: "¡Convoca elecciones!"</t>
  </si>
  <si>
    <t>https://www.guadanews.es/noticia/52761/en-portada/ovacion-y-aplausos-a-los-reyes-pedro-sanchez-abucheado-a-la-entrada-del-congreso:-convoca-elecciones.html</t>
  </si>
  <si>
    <t>Tuiteo Cabudare</t>
  </si>
  <si>
    <t>http://bit.ly/2PpBvKe</t>
  </si>
  <si>
    <t>Cabudare - Palavecino</t>
  </si>
  <si>
    <t>Comparte Infociudad - síguenos y te seguimos, Reporta vía DM o Mención en @TuiteoCabudare ¡Entérate!</t>
  </si>
  <si>
    <t>Armando Ruido</t>
  </si>
  <si>
    <t>😂😂No entiendo porqué, según el CIS el ciudadano lo adora😂 Abucheos a Pedro Sánchez  vía @elmundoes</t>
  </si>
  <si>
    <t>Para que triunfe el mal, basta con que los hombres de bien no hagan nada. Edmund Burke</t>
  </si>
  <si>
    <t>jose gines rico</t>
  </si>
  <si>
    <t>#ÚltimaHora ‼️Las mismas 20 personas que han aplaudido a Rajoy y Aznar a su llegada,han abucheado a Pedro Sánchez dos minutos después‼️La derecha no respeta ni la Constitución. Nosotros sigamos a lo nuestro, trabajando desde la Constitución y el respeto por y para los españoles.</t>
  </si>
  <si>
    <t>Monóvar</t>
  </si>
  <si>
    <t>amigo de sus amigos, ciudadano del mundo. mis hijos.mis nietos mi gente lo mejor del mundo...... Socialista y Republicano de siempre y para siempre.</t>
  </si>
  <si>
    <t>ferlian</t>
  </si>
  <si>
    <t>Según el CIS, Pedro Sanchez y Alberto Garzón Son los politicos peor valorados. Era broma.</t>
  </si>
  <si>
    <t>Guadalajara</t>
  </si>
  <si>
    <t>eldiarioAnd</t>
  </si>
  <si>
    <t>El alcalde de Campillos solicita una reunión urgente con Pedro Sánchez ante la "emergencia" tras las riadas</t>
  </si>
  <si>
    <t>https://www.eldiario.es/_32402c52</t>
  </si>
  <si>
    <t>https://pbs.twimg.com/media/DtvNserW0AEtHU4.jpg</t>
  </si>
  <si>
    <t>Diario de información política, económica y social sobre Andalucía y desde Andalucía. Nos gusta ver las cosas desde el sur. De la mano de eldiarioes</t>
  </si>
  <si>
    <t>http://www.eldiario.es/andalucia/</t>
  </si>
  <si>
    <t>Sánchez, abucheado durante varios minutos: "¡Convoca elecciones!" #DiaDeLaConstitución  vía @libertaddigital</t>
  </si>
  <si>
    <t>Jotajota</t>
  </si>
  <si>
    <t>Sánchez se lleva la bronca del día  vía @elcorreo_com</t>
  </si>
  <si>
    <t>https://www.elcorreo.com/40-aniversario-constitucion/pedro-sanchez-lleva-20181206123919-ntrc.html?edtn=alava</t>
  </si>
  <si>
    <t>Amante de las Bellas Artes, sobre todo la Música Clásica y la Pintura, también del Jazz, la Historia en general y el 7º Arte.</t>
  </si>
  <si>
    <t>Por qué ha anunciado Pedro Sánchez que presentará los Presupuestos en enero</t>
  </si>
  <si>
    <t>http://somosecd.com/m2uok4</t>
  </si>
  <si>
    <t>El Iceberg de Madrid</t>
  </si>
  <si>
    <t>Pedro Sánchez explica la necesidad de adaptar la #Constitución #España</t>
  </si>
  <si>
    <t>https://www.elicebergdemadrid.com/nacional/pedro-sanchez-explica-la-necesidad-de-adaptar-la-constitucion/</t>
  </si>
  <si>
    <t>España/Madrid</t>
  </si>
  <si>
    <t>Twitter Oficial del diario @ElIcebergMadrid'. Sigue toda la actualidad de Madrid y sus municipios aquí. Desde 1999 en la calle y desde 2012 en Twitter.</t>
  </si>
  <si>
    <t>http://www.eliceberg.com</t>
  </si>
  <si>
    <t>Mientras que ha Pedro Sánchez le ha salido caro la alianza con independentistas, lo mismo podría sucederle al PP o incluso a Ciudadanos -si llegara a pactar- con Vox</t>
  </si>
  <si>
    <t>http://bit.ly/2QfYE7l</t>
  </si>
  <si>
    <t>https://pbs.twimg.com/media/DtvMjJdW4AAfYGB.jpg</t>
  </si>
  <si>
    <t>https://pbs.twimg.com/media/DtvMhdyVAAAkSuP.jpg</t>
  </si>
  <si>
    <t>Rubén Gil</t>
  </si>
  <si>
    <t>"Estas son las primeras elecciones en las que han podido votar los españoles después del 1-O y después de que Pedro Sánchez ocupara el Gobierno" @manuelpm en @disidentia Dando causas razonables de los resultados en #Andalucía #España Me alegro por VOX :)</t>
  </si>
  <si>
    <t>https://disidentia.com/la-voz-del-pueblo</t>
  </si>
  <si>
    <t>"El mayor error lo comete quien no hace nada porque sólo podría hacer un poco" Edmund Burke | Yo soy "nazareno" ن Liberal, distributista y conservador.</t>
  </si>
  <si>
    <t>ElNacional .cat</t>
  </si>
  <si>
    <t>El presidente español Pedro Sanchez sostiene que reformar la Constitución es la mejor manera de reforzarla</t>
  </si>
  <si>
    <t>https://www.elnacional.cat/es/politica/pedro-sanchez-reforma-constitucion_332214_102.html</t>
  </si>
  <si>
    <t>Última hora política y económica de Catalunya, España e internacional. Creado por José Antich. FB http://facebook.com/elnacionalcates/ En catalán @elnacionalcat</t>
  </si>
  <si>
    <t>http://www.elnacional.cat/es/</t>
  </si>
  <si>
    <t>Ángel Manuel García</t>
  </si>
  <si>
    <t>Otra más... El "okupa" de la Moncloa se topa con clamores de adelanto electoral. Le han abucheado en la Carrera de San Jerónimo.</t>
  </si>
  <si>
    <t>Extremadura, Spain</t>
  </si>
  <si>
    <t>💻 Computer Engineering (@UDIMA) | 🗣 @relibertad @copealmendralej @ActonInstitute @ahorainformac @mises @NavarraConfiden | @clubdeviernes | Paleolibertarian</t>
  </si>
  <si>
    <t>http://www.amgarciac.es</t>
  </si>
  <si>
    <t>Abucheos a Pedro Sánchez  vía @elmundoes ❗ALEGROMEEEEE❗</t>
  </si>
  <si>
    <t>eldiariomurcia</t>
  </si>
  <si>
    <t>Pedro Sánchez niega que su estrategia en Catalunya sea la causa principal del hundimiento electoral, pero cambia de plan para separarse de ERC y PDeCAT</t>
  </si>
  <si>
    <t>Región de Murcia - La Tierra</t>
  </si>
  <si>
    <t>📰 Eldiario.es en la Región de Murcia. Periodismo a pesar de todo.</t>
  </si>
  <si>
    <t>http://www.eldiario.es/murcia/</t>
  </si>
  <si>
    <t>Sánchez se lleva la bronca del Día de la Constutución</t>
  </si>
  <si>
    <t>El DOCTOR ENTRE ABUCHEOS. HAY QUE TENER TRAGADERAS..</t>
  </si>
  <si>
    <t>https://www.abc.es/espana/abci-pedro-sanchez-llega-entre-abucheos-congreso-40-aniversario-constitucion-201812061227_noticia_amp.html</t>
  </si>
  <si>
    <t>Javier Montero Pérez</t>
  </si>
  <si>
    <t>Córdoba (Spain)</t>
  </si>
  <si>
    <t>Doctor en Medicina. Español. Autor médico.Docente. Experto univ. #seguridadpaciente #urgencias #ECG #simulacionclinica. Aprender para mejorar. Sabinero confeso.</t>
  </si>
  <si>
    <t>http://javier-montero-perez.webnode.es/</t>
  </si>
  <si>
    <t>Gabriel Jiménez.</t>
  </si>
  <si>
    <t>Hemeroteca. Retratando personajes.</t>
  </si>
  <si>
    <t>https://www.elplural.com/autonomias/andalucia/el-alcalde-anfitrion-de-pedro-sanchez-entrego-la-famp-al-pp_99028102</t>
  </si>
  <si>
    <t>Populistas de izquierdas, derechas o presunto centro: A LOS CIUDADANOS NO SE LES MIENTE.</t>
  </si>
  <si>
    <t>https://www.facebook.com/gabrieljimenezhalamadrid</t>
  </si>
  <si>
    <t>EL SEIS DOBLE</t>
  </si>
  <si>
    <t>Si el leit motiv de la moción de censura era la corrupción del PP de Rajoy, ahora Pedro Sánchez ya tiene una nueva razón para seguir en el poder: "movilizar" a la sociedad para parar el ascenso de Vox. #arponazopjr 1.837 @pedroj_ramirez</t>
  </si>
  <si>
    <t>Nací en el Mediterráneo...</t>
  </si>
  <si>
    <t>En este país no se lee porque no se escribe, y no se escribe porque no se lee. Mariano José de Larra.</t>
  </si>
  <si>
    <t>http://www.e6d.es</t>
  </si>
  <si>
    <t>XaviBoadaVila||*||</t>
  </si>
  <si>
    <t>El próximo 155 con Pedro Sánchez en el poder no será inmensamente peor del sucedáneo que tuvimos con los populares, la represión será máxima, porque Cataluña habrá parado y no habrá militar, ni juez, ni penas, ni cárcel que nos ponga en marcha</t>
  </si>
  <si>
    <t>Barcelona - Europe</t>
  </si>
  <si>
    <t>🎗🎗Escritor https://politicaespanyola.com #followback Tractorero payés catalán RT no significa adhesión 🎗🎗</t>
  </si>
  <si>
    <t>http://www.xaviboadavila.com</t>
  </si>
  <si>
    <t>caletero</t>
  </si>
  <si>
    <t>Le acaban de preguntar a Pedro Sánchez si habrá elecciones en marzo. Ha dicho que le pillarán trabajando en el gobierno. Será el único mes que trabaje desde que está de presidente. Pues los demás meses se lo ha tirado de vacaciones en el avión oficial.</t>
  </si>
  <si>
    <t>Comienza la comisión que investigará la tesis de Pedro Sánchez</t>
  </si>
  <si>
    <t>https://www.abc.es/espana/abci-arranca-comision-investigara-tesis-pedro-sanchez-201812050400_noticia.html#ns_campaign=rrss&amp;ns_mchannel=abc-es&amp;ns_source=fb&amp;ns_linkname=cm-general&amp;ns_fee=0</t>
  </si>
  <si>
    <t>Sonia</t>
  </si>
  <si>
    <t>Letrada. fuerte lo que tenemos en Madrid! Pacto de Perdedores con una 🐀 en el ayuntamiento. 🤮🤮👎</t>
  </si>
  <si>
    <t>Claire #WeWontBeErased</t>
  </si>
  <si>
    <t>Lo de que abuchearan a Pedro Sánchez y al rey emérito nada, un poco ensayado no?</t>
  </si>
  <si>
    <t>KA KA KA KA KACHI DAZEEE</t>
  </si>
  <si>
    <t>Milinda</t>
  </si>
  <si>
    <t>Sánchez se lleva la bronca del día  vía @laverdad_es</t>
  </si>
  <si>
    <t>https://www.laverdad.es/40-aniversario-constitucion/pedro-sanchez-lleva-20181206123919-ntrc.html</t>
  </si>
  <si>
    <t>Pedro Sánchez saca la patita antimonárquica  vía @ecd_</t>
  </si>
  <si>
    <t>https://www.elconfidencialdigital.com/blog/jose-apezarena/pedro-sanchez-saca-patita-antimonarquica/20181204175405118950.html</t>
  </si>
  <si>
    <t>La 7 TV</t>
  </si>
  <si>
    <t>Abucheos a Pedro Sánchez a las puertas del Congreso el Día de la Constitución</t>
  </si>
  <si>
    <t>http://7tvregiondemurcia.es/abucheos-a-pedro-sanchez-a-las-puertas-del-congreso-el-dia-de-la-constitucion/</t>
  </si>
  <si>
    <t>La 7 Televisión Autonómica de la Región de Murcia.</t>
  </si>
  <si>
    <t>http://webtv.7tvregiondemurcia.es/</t>
  </si>
  <si>
    <t>El líder de Ciudadanos ha pedido al presidente del Gobierno, Pedro Sánchez, que vuelva al bloque constitucionalista #ConstituciónARV</t>
  </si>
  <si>
    <t>http://atres.red/3w0ag4</t>
  </si>
  <si>
    <t>👍👌👏👏👏👏👏👏Pedro Sánchez llega entre abucheos al Congreso en el día del 40 aniversario de la Constitución  vía @ABCespana</t>
  </si>
  <si>
    <t>El Correo</t>
  </si>
  <si>
    <t>Diario digital de Bizkaia y Araba/Álava, noticias, información, actualidad, política, economía, sociedad, deportes, ocio, cine, noticias de última hora.</t>
  </si>
  <si>
    <t>http://www.elcorreo.com</t>
  </si>
  <si>
    <t>📙 Ya que hoy se recuerdan las obligaciones constitucionales os dejo las palabras de Pedro Sánchez sobre los Presupuestos Generales del Estado. ☝🏻 #40añosdeConstitución ☝🏻 #EleccionesYA 📽 Dentro vídeo ⤵️⤵️⤵️</t>
  </si>
  <si>
    <t>pic.twitter.com/zNk8gbHobB</t>
  </si>
  <si>
    <t>🔵🔵🔵 ¿Quién ha hundido el Titanic socialista en Andalucía? La opinión de @isidorotapia Sin duda, Pedro con sus socios los golpistas.</t>
  </si>
  <si>
    <t>https://blogs.elconfidencial.com/espana/desde-fuera/2018-12-06/elecciones-andalucia-pedro-sanchez-susana-diaz-culpable-hundimiento-titanic-socialista_1688542/?utm_source=twitter&amp;utm_medium=social&amp;utm_campaign=ECDiarioManual</t>
  </si>
  <si>
    <t>Eraser.✨</t>
  </si>
  <si>
    <t>Acabo de leer que han llamado a Pedro Sánchez neocomunista</t>
  </si>
  <si>
    <t>https://pbs.twimg.com/media/DtvIoKpW4AAnV2I.jpg</t>
  </si>
  <si>
    <t>León, España</t>
  </si>
  <si>
    <t>tengo hambre</t>
  </si>
  <si>
    <t>LAMBERTO PONS SENIOR</t>
  </si>
  <si>
    <t>EL GORRON DEL FALCONETTI PARA SEGUIR VIAJANDO EN FALCON ES CAPAZ DE HACER DESAPARECER A LA GUARDIA CIVIL DE DODE SEA, ELECCIONES YA PATRA TIRAR A ESTE INCONSTITUCIONAL DE LA MONCLOA</t>
  </si>
  <si>
    <t>http://www.citizengo.org/hazteoir/pc/166961-pedro-sanchez-vende-guardia-civil?tc=fb&amp;tcid=52558575</t>
  </si>
  <si>
    <t>SPAIN</t>
  </si>
  <si>
    <t>SOY COMO SOY PORQUE ME DA LA GANA Y LA CASTA PPSOEIUNAZIS SON UNOS SINVERGUENZAS</t>
  </si>
  <si>
    <t>http://LAMBERTUSCEGATUSCANAL.WORDPRESS.COM</t>
  </si>
  <si>
    <t>Abucheos y pìtos a Pedro Sánchez en la celebración del 6-D</t>
  </si>
  <si>
    <t>https://www.elespanol.com/espana/politica/20181206/abucheos-pitos-pedro-sanchez-celebracion/358734126_2.html</t>
  </si>
  <si>
    <t>Abuchean a Pedro Sánchez a su llegada al Congreso por el 40 aniversario de la Constitución . Que sucede. Los fachas han ocupado el Parlamento. ¿Donde está la izquierda? Solo protestan los de las banderitas. ¿Tenemos miedo?. ¿humillados toda la vida?</t>
  </si>
  <si>
    <t>A veces moderado. Republicano. Mayor.</t>
  </si>
  <si>
    <t>La "Barbie de moral distraída"... (Viene sin proxeneta, es una profesional independiente) Mosqueada porque @Pdro_Snchez Pedro Sánchez y su gobierno "progresista" no le permiten sindicarse...</t>
  </si>
  <si>
    <t>https://pbs.twimg.com/media/DtvIC_UWoAAhwSV.jpg</t>
  </si>
  <si>
    <t>Noticias Mediodía</t>
  </si>
  <si>
    <t>Abucheos y gritos de "fuera, fuera" a Pedro Sánchez a su llegada al Congreso.</t>
  </si>
  <si>
    <t>https://www.ondacero.es/noticias/espana/video-abucheos-gritos-fuera-fuera-pedro-sanchez-congreso-constitucion_201812065c090ba90cf21af4301c6803.html</t>
  </si>
  <si>
    <t>https://pbs.twimg.com/media/DtvISiuWwAAs5zB.jpg</t>
  </si>
  <si>
    <t>De lunes a viernes de 14:00 a 15:00 en @ondacero_es con Elena Gijón. Noticias de Onda Cero #Radio</t>
  </si>
  <si>
    <t>http://www.ondacero.es/programas/noticias-mediodia/</t>
  </si>
  <si>
    <t>Leído en Periódicos Españoles  @periodicoespapp</t>
  </si>
  <si>
    <t>https://www.abc.es/espana/abci-pedro-sanchez-llega-entre-abucheos-congreso-40-aniversario-constitucion-201812061227_noticia.html
http://www.xn--periodicosespaoles-00b.es/descargar/</t>
  </si>
  <si>
    <t>Ricardo Miranda-Naón</t>
  </si>
  <si>
    <t>Persona mayor.Español por decisión adulta. “Nearly all men can stand adversity, but if you want to test a man's character, give him power.” ― Abraham Lincoln</t>
  </si>
  <si>
    <t>Pedro o Susana: ¿quién ha hundido el Titanic socialista en Andalucía? La opinión de isidorotapia</t>
  </si>
  <si>
    <t>Nacho Louro</t>
  </si>
  <si>
    <t>Así despiden a Pedro Sánchez. #EleccionesYa #40AñosDeConstitución</t>
  </si>
  <si>
    <t>pic.twitter.com/UzhyzhsGus</t>
  </si>
  <si>
    <t>La/A Coruña.</t>
  </si>
  <si>
    <t>Nací y vivo en La/A Coruña, me siento ESPAÑOL, gallego y coruñés. Lo mejor, mi mujer y mis 3 hijos. Rechazo el aborto. Donante de órganos. Liberal y conservador</t>
  </si>
  <si>
    <t>"Fuera, fuera": pitos y abucheos a Pedro Sánchez a su llegada al Congreso para el acto del Día de la Constitución  vía @eldiarioes</t>
  </si>
  <si>
    <t>http://dlvr.it/Qsz8BY</t>
  </si>
  <si>
    <t>https://pbs.twimg.com/media/DtvHvXYU8AE_ZCy.jpg</t>
  </si>
  <si>
    <t>Pedro o Susana: ¿quién ha hundido el Titanic socialista en Andalucía? La opinión de @isidorotapia</t>
  </si>
  <si>
    <t>PEDRO SÁNCHEZ ANTE EL DILUVIO ELECTORAL DE ANDALUCÍA. Si por misericordia quieres aportar algún donativo para engrasar la horca; envíalo a la Asociación de Víctimas del Terrorismo</t>
  </si>
  <si>
    <t>https://pbs.twimg.com/media/DtvGpl6XcAA89bW.jpg</t>
  </si>
  <si>
    <t>Juan Alonso Uceda</t>
  </si>
  <si>
    <t>COSAS DE LOS DEMOCRATAS DE LA DERECHA (PP, VOX, C'S) : Abuchean a Pedro Sánchez a su llegada al Congreso por el 40 aniversario de la Constitución</t>
  </si>
  <si>
    <t>Comunero Toledo en Barcelona, Socialista d corazón, Progresista util, sindicato CCOO desd k tenía22años Medioambiente sostenible ,aprendiz de Blogger y escritor</t>
  </si>
  <si>
    <t>CANDEANISMO O BARBARIE ⚔️</t>
  </si>
  <si>
    <t>"Yo he venido a aplaudir a los reyes y abuchear a Pedro Sánchez" Un constitucionalista moderado. #DiaDeLaConstitucion</t>
  </si>
  <si>
    <t>CANDEAN-vigo</t>
  </si>
  <si>
    <t>felipe alvarez</t>
  </si>
  <si>
    <t>Entrevista | Pedro Sánchez: “A los independentistas les da igual el modelo de Estado, quieren ir contra el ser de España”  vía @elpais_espana HA HIRA TE DA CUENTA O NO QUERÍAS DARTE CUENTA</t>
  </si>
  <si>
    <t>COSAS DE LOS DEMOCRATAS DE LA DERECHA (PP, VOX, C'S) Abuchean a Pedro Sánchez a su llegada al Congreso por el 40 aniversario de la Constitución</t>
  </si>
  <si>
    <t>Patricia Aliaga</t>
  </si>
  <si>
    <t>Al acto de #40AñosDeConstitución no han acudido: PDeCAT, ERC, PNV y Bildu. Podemos ha acudido pero sus representantes no han aplaudido, demostrando su rechazo a lo que se celebra. Pedro Sánchez es presidente gracias al voto de todas esas formaciones.</t>
  </si>
  <si>
    <t>Periodista especializada en #comunicación corporativa y #socialmedia. Máster en #Liderazgo. Estuve en @gobierno_aragon y @aragonliberal Ahora soy feliz</t>
  </si>
  <si>
    <t>http://paliagalorente.wix.com/comunicacion</t>
  </si>
  <si>
    <t>Dolores GPastor 🇪🇺</t>
  </si>
  <si>
    <t>“...que Podemos no haya contribuido a regenerar la vida política española no significa que millones de personas no lo votasen en 2015 y 2016 con esa esperanza. Algo parecido podría haber ocurrido ahora con Vox”</t>
  </si>
  <si>
    <t>https://blogs.elconfidencial.com/espana/desde-fuera/2018-12-06/elecciones-andalucia-pedro-sanchez-susana-diaz-culpable-hundimiento-titanic-socialista_1688542/</t>
  </si>
  <si>
    <t>https://pbs.twimg.com/media/DtvGWGEXQAAjAsM.jpg</t>
  </si>
  <si>
    <t>España Liberal y Progresista</t>
  </si>
  <si>
    <t>Presidenta de la #ComisiónCorrupción. Diputada Asamblea de Madrid. Regeneración y transparencia. Reformer.</t>
  </si>
  <si>
    <t>http://linkedin.com/in/dgpastor</t>
  </si>
  <si>
    <t>Según ECD : "Sánchez ha hecho una doble apuesta en la que siempre gana: si los saca adelante alargará la legislatura, si no, romperá con los independentistas y venderá ese mensaje en las autonómicas"</t>
  </si>
  <si>
    <t>Qué raro. Por eso no baja del Falcon. Sánchez, abucheado durante varios minutos: "¡Convoca elecciones!"  vía @libertaddigital</t>
  </si>
  <si>
    <t>Andrés Correonero</t>
  </si>
  <si>
    <t>Hoy se ha visto quiénes son los partidos constitucionalistas. Y sí, no estaban los amigos de Pedro Sánchez. Pero mañana dirá lo contrario porque cree que la gente es imbécil.</t>
  </si>
  <si>
    <t>mªteresa faci gil</t>
  </si>
  <si>
    <t>Abuchean a Pedro Sánchez y dejan de rositas al Rey emérito ¡¡Que demócratas!!!</t>
  </si>
  <si>
    <t>ATOPOLO</t>
  </si>
  <si>
    <t>40 ANIVERSARIO CONSTITUCIÓN: ¡ABUCHEO MULTITUDINARIO A PEDROZ EL OKUPA! "Ya s habitual ver abuchear a PedroZ, pro l d hoy ha sido tn sonado q hsta l publica l Sexta. Llega l Congreso protegido x policía y gritos d "fuera traidor, Okupa y Elecciones ya!👇</t>
  </si>
  <si>
    <t>https://pbs.twimg.com/media/DtvFdywW4AA_zAR.jpg</t>
  </si>
  <si>
    <t>Artista Audiovisual Polimático, Cineasta, Director Fotografía, Guionista, Montador, Etalonador, Composición y VFX. ¡NACEMOS VIENDO; CRECEMOS MIRANDO!</t>
  </si>
  <si>
    <t>https://www.youtube.com/user/9musas1</t>
  </si>
  <si>
    <t>https://pbs.twimg.com/media/DtvFb-sWkAAmqBr.jpg</t>
  </si>
  <si>
    <t>https://pbs.twimg.com/media/DtvE52WWkAA_18V.jpg</t>
  </si>
  <si>
    <t>twiteo El Tocuyo™</t>
  </si>
  <si>
    <t>http://blogtwiteoeltocuyo.blogspot.com/2018/12/abucheos-para-pedro-sanchez-y-aplausos.html</t>
  </si>
  <si>
    <t>El Tocuyo, Lara, Venezuela.</t>
  </si>
  <si>
    <t>Primera cuenta informativa por y para Morán, Jiménez, http://A.E.Blanco + de 15.500 participantes! ojo con copiones! Información regional, nacional y mund</t>
  </si>
  <si>
    <t>http://blogtwiteoeltocuyo.blogspot.com/</t>
  </si>
  <si>
    <t>Zoé Valdés</t>
  </si>
  <si>
    <t>http://zoevaldes.net/2018/12/06/abucheos-y-pitos-a-pedro-sanchez-a-las-puertas-del-congreso-en-el-6-d-el-espanol/</t>
  </si>
  <si>
    <t>https://pbs.twimg.com/media/DtvEqLGU8AAoOjD.jpg</t>
  </si>
  <si>
    <t>París, Francia</t>
  </si>
  <si>
    <t>Escritora, artista zoevaldesofficialpage en instagram</t>
  </si>
  <si>
    <t>http://www.zoevaldes.net</t>
  </si>
  <si>
    <t>Olga</t>
  </si>
  <si>
    <t>Me encanta el cine, leer, etc. ...... y sobre todo me gusta @davidzepeda1 gran actor y mejor persona. Me sigue desde 09/05/12 fecha muy especial.</t>
  </si>
  <si>
    <t>Pedro Sánchez: “A los independentistas les da igual el modelo de Estado, quieren ir contra el ser de España” -</t>
  </si>
  <si>
    <t>Para el PP y Ciudadanos, Pedro Sánchez, es un vendedor de humo  @lamardeonuba #TratadoUtrech #ConflictoGibraltarEspaña #DerechoDeAutodeterminación #Brexit</t>
  </si>
  <si>
    <t>Naranjito 🍊</t>
  </si>
  <si>
    <t>"Fuera, fuera", pitos y abucheos a Pedro Sánchez cuando llegaba al Congreso para el acto del Día de la Constitución. Lo que le faltaba para animarle a convocar elecciones. Gran fallo estratégico: ¡tenían que haberle aplaudido! #40AñosDeConstitución 🤣🤣🤣</t>
  </si>
  <si>
    <t>“... cuando se lucha contra cualquiera de los avatares del totalitarismo hay que decidir si ser Chamberlain o Churchill” Etiam si omnes, ego non</t>
  </si>
  <si>
    <t>http://www.facebook.com/groups/yosoynaranjito</t>
  </si>
  <si>
    <t>Borde y peligroja</t>
  </si>
  <si>
    <t>¿Abucheos a Pedro Sánchez a la salida del Congreso? Me quedo perpleja.</t>
  </si>
  <si>
    <t>La del avatar no soy yo, es mi prima. No sin mis tacones. Si te ofenden mis tuits, no me leas.</t>
  </si>
  <si>
    <t>Noelaco</t>
  </si>
  <si>
    <t>Un mensaje a Pedro Sanchez y Miquel Iceta. A ver si se lo podéis hacer llegar. La misma gente que estaba legitimando a Vox, manifestándose con ellos por las calles, con una sonrisa, hoy habla de antifascismo. Si...</t>
  </si>
  <si>
    <t>https://www.facebook.com/1096365597/posts/10216191305910800/</t>
  </si>
  <si>
    <t>Pobreza, s. El número de planes para abolirla iguala al de reformadores que la padecen más el de filósofos que la ignoran.</t>
  </si>
  <si>
    <t>http://www.noelduque.com</t>
  </si>
  <si>
    <t>⚡↓→yasselito10 IG⚡☄↓</t>
  </si>
  <si>
    <t>Gran 'pitada' a Pedro Sánchez a las puertas del Congreso en el aniversario de la Constitución</t>
  </si>
  <si>
    <t>http://dlvr.it/Qsz4cD</t>
  </si>
  <si>
    <t>ヅ♔†♛╬C A N C E R B E R O ╬♛†♔♐</t>
  </si>
  <si>
    <t>⠀⠀⠀ ⠀⠀⠀ ⠀⠀⠀⠀⠀@smoss ⠀⠀⠀ ⠀⠀⠀ ⠀⠀⠀⠀⠀ ♥@icecube ✌@YG @kid_ink✌@chrisbrown ⠀⠀⠀⠀⠀⠀⠀⠀ @wizKhalifa ♛ ♛∞⠀⠀⠀⠀⠀⠀⠀⠀♥♛⚡↓→</t>
  </si>
  <si>
    <t>Carmil Duran</t>
  </si>
  <si>
    <t>Abuchean a Pedro Sánchez a su llegada al Congreso por el 40 aniversario de la Constitución  #ghvip3D #ghvipdirecto #ghvip @telecincoes @VivaLaVidaT5 @cazamariposastv @Verdeliss_ #MiriamGanadoraDeGHVIP6 #SomosLaAudiencia6D #SomosLaAudiencia33N</t>
  </si>
  <si>
    <t>😊</t>
  </si>
  <si>
    <t>José</t>
  </si>
  <si>
    <t>Abuchean a Pedro Sánchez y aplauden a Felipe VI a la salida del Congreso. Curioso: al Pte lo votaron en las urnas y a Felipe VI ya tal... #40AñosDeConstitución</t>
  </si>
  <si>
    <t>Politólogo. Master en PRL</t>
  </si>
  <si>
    <t>Javier Ulloa Meijide</t>
  </si>
  <si>
    <t>Se marcha el Rey emérito y la gente aplaudiendo como loca, sale Pedro Sánchez y se ponen a silbar😂😂 les mola más un golfo chupando del bote 40 años como jefe de estado que un tipo de otro partido en Moncloa. Así nos va de bien</t>
  </si>
  <si>
    <t>16 de Enero de 1996. Atletismo, musica, vela, windsurf. GET BUSY LIVIN', OR GET BUSY DYING. Instagram: ulloameijide96</t>
  </si>
  <si>
    <t>Antonio Novo 🇪🇸</t>
  </si>
  <si>
    <t>P. Sánchez no quiere complicaciones la deja directamente para las hienas. Sánchez no forzará el relevo de Susana Díaz: dejará que sea el PSOE andaluz el que la fulmine</t>
  </si>
  <si>
    <t>https://okdiario.com/espana/2018/12/06/pedro-sanchez-no-forzara-relevo-susana-diaz-dejara-psoe-andaluz-fulmine-3434507#.XAkdFgbq8g8.twitter</t>
  </si>
  <si>
    <t xml:space="preserve">Jerez de la Frontera. Ferrol. </t>
  </si>
  <si>
    <t>Nací en San Fernando (Cádiz). Enfermero de Urgencias. Español🇪🇸. No me fio de la partitocracia. Solo tiene crédito MCRC. Melómano y fotógrafo.</t>
  </si>
  <si>
    <t>http://www.novomedinilla.com/?m=1</t>
  </si>
  <si>
    <t>Pedro Sánchez ha ofrecido a Torras y a Junqueras el acuerdo de que si apoyan los presupuestos, retirarán de toda Cataluña a la Guardia Civil y a la Policía Nacional. Ante esta barbaridad y traición, hay que tirar al traidor y miserables d la Moncloa 🐀🐀💩🤮🐷</t>
  </si>
  <si>
    <t>Pablo sainz cubel</t>
  </si>
  <si>
    <t>Cuadrilla de fachas pitando a Pedro Sánchez elegido democráticamente, y aplausos a una monarquia que no se presenta a las elecciones. #DiaDeLaConstitucion</t>
  </si>
  <si>
    <t>De Bilbao en Castro Urdiales.</t>
  </si>
  <si>
    <t>De clase obrera.</t>
  </si>
  <si>
    <t>Notoriamente abucheados hoy Zapatero y Pedro Sanchez a su llegada al Congreso de los Diputados. #40anosdeconstitucion</t>
  </si>
  <si>
    <t>http://a.msn.com/01/es-es/BBQuQMy?ocid=st</t>
  </si>
  <si>
    <t>Julio Casarrubios</t>
  </si>
  <si>
    <t>LA POLÍTICA DEL ODIO MADRUGAN PARA APLAUDIR A RAJOY, AZNAR Y CASADO Y ABUCHEAR A ZAPATERO Y PEDRO SÁNCHEZ PATRIOTAS QUE UTILIZAN LA CONSTITUCIÓN COMO ALGUNOS LA BANDERA Pincha en este blog</t>
  </si>
  <si>
    <t>http://juliocasarrubios.blogspot.com</t>
  </si>
  <si>
    <t>https://pbs.twimg.com/media/DtvCknaW0AAVMKC.jpg</t>
  </si>
  <si>
    <t>http://juliocasarrubios.blogspot.com.es</t>
  </si>
  <si>
    <t>Javier Lezaola</t>
  </si>
  <si>
    <t>El españolito que hoy reivindica la "concordia" de 1978 años yendo a la Carrera de San Jerónimo a pitar a Pedro Sánchez es el mismo o el heredero político del que hace 40 años no dejaba ni respirar a Adolfo Suárez</t>
  </si>
  <si>
    <t>Toda la gloria del mundo cabe en un grano de maíz (José Martí)</t>
  </si>
  <si>
    <t>Mira, Pedro Sánchez saliendo en coche, en lugar de ir en Falcon o en helicóptero, corre, pide un deseo.</t>
  </si>
  <si>
    <t>🔴 Abucheos a Pedro Sánchez a su salida del Congreso y aplausos al rey Felipe VI #ConstituciónARV #DíaDeLaConstitución</t>
  </si>
  <si>
    <t>http://atres.red/4ncii6086</t>
  </si>
  <si>
    <t>Ser Socialista es una opción, pero la gestión de la Junta de Andalucía, te hace replantearte muchas cosas</t>
  </si>
  <si>
    <t>Abuchean a Pedro Sánchez a su llegada al Congreso por el 40 aniversario de la Constitución  vía @20m</t>
  </si>
  <si>
    <t>AlRojoVivo</t>
  </si>
  <si>
    <t>Un debate plural donde caben las opiniones y sugerencias de todos. De lunes a viernes, a las 11 horas, en @laSextaTV</t>
  </si>
  <si>
    <t>http://www.lasexta.com/programas/al-rojo-vivo/</t>
  </si>
  <si>
    <t>Tuiteo Barinas</t>
  </si>
  <si>
    <t>http://bit.ly/2GfdV3R</t>
  </si>
  <si>
    <t>Barinas - Venezuela</t>
  </si>
  <si>
    <t>Canal Informativo para Barinas. Síguenos y te Seguimos. Reporta vía Mención o HT #Barinas ¡Entérate!</t>
  </si>
  <si>
    <t>Marc Llodrà</t>
  </si>
  <si>
    <t>Abucheos y pitada a Pedro Sanchez. Todavía no sabeis porque no hay elecciones a pesar del superCIS que tienen?</t>
  </si>
  <si>
    <t>1993. Fisioterapeuta. Amant de sa meva ciutat, sa meva illa i sa meva cultura. RCD Mallorca 🖤❤️. Cuperista. Soci 2.649. @MarinaLlabres 17🖤</t>
  </si>
  <si>
    <t>http://ask.fm/MarcLLodra</t>
  </si>
  <si>
    <t>Javier Sánchez</t>
  </si>
  <si>
    <t>El alcalde de #Campillos pide una reunión urgente con Pedro Sánchez por la situación de emergencia del municipio  vía @AndaluciaCentro</t>
  </si>
  <si>
    <t>http://www.andaluciacentro.com/malaga/campillos/campillos/12784/el-alcalde-de-campillos-pide-una-reunion-urgente-con-pedro-sanchez-por-la-situacion-de-emergencia-del-municipio</t>
  </si>
  <si>
    <t>Estepa, España</t>
  </si>
  <si>
    <t>Trotamundos radiofónico</t>
  </si>
  <si>
    <t>ElPeriódico Política</t>
  </si>
  <si>
    <t>Sánchez, rebut amb crits de "fora, fora" | Vídeo</t>
  </si>
  <si>
    <t>http://elperiodi.co/bnace1</t>
  </si>
  <si>
    <t>Secció de Política de El Periódico, el diari de referència de Catalunya @elperiodico_cas (castellano) @elperiodico_cat (català)</t>
  </si>
  <si>
    <t>http://www.elperiodico.cat/ca/politica/</t>
  </si>
  <si>
    <t>Pedro Sánchez, recibido con gritos de "fuera, fuera" | Vídeo</t>
  </si>
  <si>
    <t>http://elperiodi.co/j4hfe1</t>
  </si>
  <si>
    <t>Todas las noticias de la sección de Política de El Periódico @elperiodico. 📢 Síguenos también en Telegram http://telegram.me/elperiodico</t>
  </si>
  <si>
    <t>http://www.elperiodico.com/es/politica</t>
  </si>
  <si>
    <t>Literario libertario</t>
  </si>
  <si>
    <t>#40AñosDeConstitución La gente que ovaciona al rey Felipe VI abuchea e increpa a Pedro Sánchez. Si yo fuera él, empezaría a asumir que defender este régimen y a esta Corona no me sale a cuenta.</t>
  </si>
  <si>
    <t>El país de los cántabros. 💢</t>
  </si>
  <si>
    <t>ENTP-T. Nunca dogmático y siempre radical. Solo respeto una corona: la corona de espinas. Libertad como base de todo lo demás. ❤️💛💜</t>
  </si>
  <si>
    <t>https://t.me/apuntesdepolitica</t>
  </si>
  <si>
    <t>jose luis casado</t>
  </si>
  <si>
    <t>Echenique exige a Pedro Sánchez que juzgue a los franquistas y convierta el Valle de los Caídos en un parque de…</t>
  </si>
  <si>
    <t>https://www.elmatinal.com/actualidad/echenique-exige-a-pedro-sanchez-que-juzgue-a-los-franquistas-y-convierta-el-valle-de-los-caidos-en-un-parque-de-atracciones/</t>
  </si>
  <si>
    <t>Fco Javier Fernandez</t>
  </si>
  <si>
    <t>Eduardo Páez Pumar</t>
  </si>
  <si>
    <t>Caraqueño, Ingeniero Civil UCAB. Académico de la Academia Nacional de la Ingeniería y el Hábitat. Fundador de la Asociación Integral de Políticas Públicas AIPOP</t>
  </si>
  <si>
    <t>http://www.aipop.org</t>
  </si>
  <si>
    <t>HappyCrismlsMike</t>
  </si>
  <si>
    <t>Llegar a presidente del Gobierno tras liarla pardisima, me he marcado un Pedro Sanchez RT @cai_nyabel: Juguemos, cuál será tu logro en 2019?</t>
  </si>
  <si>
    <t>Con ella no</t>
  </si>
  <si>
    <t>Tuiteo Aragua</t>
  </si>
  <si>
    <t>http://bit.ly/2Qk6ug7</t>
  </si>
  <si>
    <t>cuenta disponible para reportar InfoCiudad las 24 horas</t>
  </si>
  <si>
    <t>https://www.facebook.com/TuiteoAragua</t>
  </si>
  <si>
    <t>A.</t>
  </si>
  <si>
    <t>#DiaDeLaConstitucion Pedro Sánchez es la constatación empírica de que, en política, muchas veces es más peligroso un idiota que un malvado.</t>
  </si>
  <si>
    <t>Barcelona. España.</t>
  </si>
  <si>
    <t>Sin comentarios. Parodia.</t>
  </si>
  <si>
    <t>bruno bergeide</t>
  </si>
  <si>
    <t>vivo en la luna con Castafiore</t>
  </si>
  <si>
    <t>constructor de cohetes,bebedor de jerez. Cansado de las chorradas del pueblo aborregado y de la ineptitud generalizada de los políticos.</t>
  </si>
  <si>
    <t>Federico Fernandez</t>
  </si>
  <si>
    <t>Creo que Pedro Sánchez ha oído un leve susuro a su llegada al Congreso, los demás escuchábamos pitidos, gritos de fuera y de elecciones; pero...</t>
  </si>
  <si>
    <t>Barcelona today</t>
  </si>
  <si>
    <t>La llegada del presidente del Gobierno al Congreso para asistir al 40 aniversario de la Constitución ha sido aprovechada por parte del público congregado en la Carrera de San Jerónimo para silbarle y gritar "fuera, fuera".</t>
  </si>
  <si>
    <t>https://www.antena3.com/noticias/espana/silbidos-a-la-llegada-de-pedro-sanchez-al-congreso_201812065c090a310cf21af4301c6624.html</t>
  </si>
  <si>
    <t>Edu Arias</t>
  </si>
  <si>
    <t>Ya, pero como diría Susana Diaz, si descontamos este 70% todo el mundo está a favor del modelo federal de Pedro Sánchez. RT @antonioperal: Portada de LA RAZÓN | Encuesta NC Report: “Casi un 70% rechaza el modelo federal que quiere Sánchez” via @larazon_es</t>
  </si>
  <si>
    <t>https://twitter.com/antonioperal/status/1070659752349319168</t>
  </si>
  <si>
    <t>https://pbs.twimg.com/media/Dtu_XQJWkAAlRRk.jpg</t>
  </si>
  <si>
    <t>Quiero dar respuesta a la izquierda y defender aquello que ama y me importa como a una gran mayoría del pueblo español.</t>
  </si>
  <si>
    <t>Sin palabras, agredida por defender la violencia en familia contra todos los sexos, esto es lo que permite Pedro Sánchez.</t>
  </si>
  <si>
    <t>https://www.facebook.com/100009437043262/posts/2320173568307189/</t>
  </si>
  <si>
    <t>zeltia regueiro</t>
  </si>
  <si>
    <t>Informa también el #Depor de que mañana será día clave para Carlos Fernández y David Simón (ambos con molestias en los isquios). Sigue sin alta médica Pedro Sánchez, que hoy volvió a entrenar con el grupo @dxtcampeon</t>
  </si>
  <si>
    <t>Periodista. Siguiendo al @RCDeportivo en @dxtcampeon. Community Manager y Prensa del @basquetcoruna. Jugadora de🏀🏀</t>
  </si>
  <si>
    <t>http://www.blogdezeltia.com</t>
  </si>
  <si>
    <t>Cecilio Castro#17MPensionesDignas</t>
  </si>
  <si>
    <t>No creo que estè acongojado. Pedro Sanchez, con toda la buena fè del mundo, entiende que para acabar con los años más duros del PP, la moción de Censura era necesaria, al igual que otros PGE distintos a los de los últimos años. No le dáis oportunidad alguna a trabajar RT @GonBernardos: ¿Qué lectura hará @sanchezcastejon de las elecciones andaluzas? Por un lado, contento porqué @susanadiaz se la haya pegado. Por el otro, aconjogado por si a él le pasa lo mismo si las convoca. Ahora si, pase lo que pase, intentará llegar al 2020.</t>
  </si>
  <si>
    <t>https://twitter.com/gonbernardos/status/1069368720923996161</t>
  </si>
  <si>
    <t>Torrelavega, Cantabria</t>
  </si>
  <si>
    <t>Diplomado Relaciones Laborales 22-11-75, Cantabria, Otra sociedad mas justa y libre es posible, entre todos podemos conseguirlo, Igualdad y justicia Social.</t>
  </si>
  <si>
    <t>http://es-la.facebook.com/cecilio.castro.777</t>
  </si>
  <si>
    <t>Noticias Cuatro</t>
  </si>
  <si>
    <t>Abucheos a Sánchez a su llegada al Congreso para celebrar los 40 años de la #ConstituciónEspañola</t>
  </si>
  <si>
    <t>http://bit.ly/2RDMYb5</t>
  </si>
  <si>
    <t>https://pbs.twimg.com/media/Dtu8scfWwAA-EnT.jpg</t>
  </si>
  <si>
    <t>La redacción de noticias de @cuatro te cuenta la última hora y todas las novedades del día | http://www.facebook.com/noticiascuatro</t>
  </si>
  <si>
    <t>http://www.cuatro.com/noticias</t>
  </si>
  <si>
    <t>Velfegor Hispa Magna</t>
  </si>
  <si>
    <t>Gobierno de Pedro Sánchez Castejón es CÓMPLICE NECESARIO de aquellos que le apoyan políticamente y que DELINQUEN dirigiendo y alentando la VIOLENCIA en las calles y contra otros.</t>
  </si>
  <si>
    <t>Japón ジャマイカ</t>
  </si>
  <si>
    <t>#🇪🇸 Honestidad, sinceridad. Sentido común. Critico a quien lo merece. Comento lo que nos ayuda a mejorar y corregir. + Belleza. Hipocresía, mentira 👉 off.</t>
  </si>
  <si>
    <t>Antonio Román🇪🇸</t>
  </si>
  <si>
    <t>Defiendo la unidad de España y a los españoles libres e iguales.</t>
  </si>
  <si>
    <t>http://antonioromansanchezrodriguez.blogspot.com.es/</t>
  </si>
  <si>
    <t>sitting bull</t>
  </si>
  <si>
    <t>El traidor número uno 🤡🤡🤡Pedro Sánchez, recibido con gritos de "fuera, fuera" | Vídeo</t>
  </si>
  <si>
    <t>https://www.elperiodico.com/es/politica/20181206/abucheos-silbidos-pedro-sanchez-7187569?utm_source=twitter&amp;utm_medium=social</t>
  </si>
  <si>
    <t>El último patriarca</t>
  </si>
  <si>
    <t>Pedro Sánchez también quiere reformar la constitución, como Vox. Otro inconstitucionalista fascista de ultramegasuperhiperneoextrema derecha tía. RT @sanchezcastejon: En 1978 el pueblo español votaba sí a la #ConstituciónEspañola. Hoy celebramos ese sí a un proyecto colectivo de libertad, progreso y democracia. Hoy, reformarla es reforzarla. Apostar por un cambio de época recuperando aquel espíritu de concordia. Felices #40AñosDeConstitución</t>
  </si>
  <si>
    <t>Asturias, Principado de Asturi</t>
  </si>
  <si>
    <t>El azote de la corrección política. Feminazi ríndete, estás rodeada. Viva España, abajo el marxismo cultural imperante.</t>
  </si>
  <si>
    <t>JUAN ANDRES BUEDO</t>
  </si>
  <si>
    <t>Pedro Sánchez: Un impulso constitucional para el cambio de época  vía @ABCespana</t>
  </si>
  <si>
    <t>Ideólogo, geográfo, comunicador, funcionario y profesor sexagenario, ya jubilado.</t>
  </si>
  <si>
    <t>http://jabuedo.typepad.com/aires_de_la_parra</t>
  </si>
  <si>
    <t>Militante participe</t>
  </si>
  <si>
    <t>Cada día más Militantes construyendo un PSOE del siglo XXI. Compañer@s luchando por un mundo mejor.🌹🌹🌹</t>
  </si>
  <si>
    <t>Tuiteo Barquisimeto</t>
  </si>
  <si>
    <t>http://bit.ly/2Qi6Vra</t>
  </si>
  <si>
    <t>Barquisimeto Estado Lara</t>
  </si>
  <si>
    <t>El acontecer en Barquisimeto. Comparte INFOCIUDAD - Reporta vía HT #Barquisimeto o Mención en @TuiteoBarqto ¡Entérate!</t>
  </si>
  <si>
    <t>https://www.facebook.com/pages/Tuiteo-Barquisimeto/613972641961403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</si>
</sst>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d/m/yy"/>
  </numFmts>
  <fonts count="10">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7"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8" fillId="0" borderId="0" xfId="0" applyFont="1" applyAlignment="1">
      <alignment vertical="center"/>
    </xf>
    <xf numFmtId="0" fontId="3" fillId="0" borderId="0" xfId="0" quotePrefix="1" applyFont="1" applyAlignment="1">
      <alignment horizontal="left" vertical="center" wrapText="1"/>
    </xf>
    <xf numFmtId="0" fontId="3" fillId="0" borderId="0" xfId="0" applyFont="1" applyAlignment="1">
      <alignment vertical="center"/>
    </xf>
    <xf numFmtId="0" fontId="9" fillId="0" borderId="0" xfId="0" applyFont="1" applyAlignment="1">
      <alignment horizontal="left" vertical="center" wrapText="1"/>
    </xf>
    <xf numFmtId="14"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164" fontId="3" fillId="0" borderId="0" xfId="0" applyNumberFormat="1" applyFont="1" applyAlignment="1">
      <alignment horizontal="center" vertical="center"/>
    </xf>
    <xf numFmtId="0" fontId="3" fillId="0" borderId="0" xfId="0" quotePrefix="1" applyFont="1" applyAlignment="1">
      <alignment horizontal="left" vertical="center"/>
    </xf>
    <xf numFmtId="0" fontId="3" fillId="0" borderId="0" xfId="0" quotePrefix="1" applyFont="1" applyAlignment="1">
      <alignment vertical="center" wrapText="1"/>
    </xf>
    <xf numFmtId="165" fontId="3" fillId="0" borderId="0" xfId="0" applyNumberFormat="1" applyFont="1" applyAlignment="1">
      <alignment horizontal="left" vertical="center"/>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mapaniagua/status/1070958193151524865" TargetMode="External"/><Relationship Id="rId3182" Type="http://schemas.openxmlformats.org/officeDocument/2006/relationships/hyperlink" Target="https://twitter.com/Angelcostalero/status/1070683521218461697" TargetMode="External"/><Relationship Id="rId3042" Type="http://schemas.openxmlformats.org/officeDocument/2006/relationships/hyperlink" Target="http://bit.ly/EP_Venezuela" TargetMode="External"/><Relationship Id="rId170" Type="http://schemas.openxmlformats.org/officeDocument/2006/relationships/hyperlink" Target="https://pbs.twimg.com/media/Dt5r3MHU0AAjm-2.jpg" TargetMode="External"/><Relationship Id="rId987" Type="http://schemas.openxmlformats.org/officeDocument/2006/relationships/hyperlink" Target="https://m.eldiario.es/3245823b_843416123/" TargetMode="External"/><Relationship Id="rId2668" Type="http://schemas.openxmlformats.org/officeDocument/2006/relationships/hyperlink" Target="http://www.libremercado.com/" TargetMode="External"/><Relationship Id="rId2875" Type="http://schemas.openxmlformats.org/officeDocument/2006/relationships/hyperlink" Target="https://www.youtube.com/channel/UC4pLa55R6EOOyyfUaZ3eenQ" TargetMode="External"/><Relationship Id="rId847" Type="http://schemas.openxmlformats.org/officeDocument/2006/relationships/hyperlink" Target="https://www.eldiestro.es/2018/12/pedro-sanchez-demuestra-ser-un-ignorante-y-un-caradura-en-una-entrevista-concedida-a-el-pais/" TargetMode="External"/><Relationship Id="rId1477" Type="http://schemas.openxmlformats.org/officeDocument/2006/relationships/hyperlink" Target="http://ow.ly/4gty101o8DP" TargetMode="External"/><Relationship Id="rId1684" Type="http://schemas.openxmlformats.org/officeDocument/2006/relationships/hyperlink" Target="http://magnet.xataka.com/" TargetMode="External"/><Relationship Id="rId1891" Type="http://schemas.openxmlformats.org/officeDocument/2006/relationships/hyperlink" Target="https://pbs.twimg.com/media/DtzTEbBWoAEiOES.jpg" TargetMode="External"/><Relationship Id="rId2528" Type="http://schemas.openxmlformats.org/officeDocument/2006/relationships/hyperlink" Target="https://mobile.twitter.com/david_dpedro" TargetMode="External"/><Relationship Id="rId2735" Type="http://schemas.openxmlformats.org/officeDocument/2006/relationships/hyperlink" Target="https://m.eldiario.es/_32458250" TargetMode="External"/><Relationship Id="rId2942" Type="http://schemas.openxmlformats.org/officeDocument/2006/relationships/hyperlink" Target="http://www.marcelolongobardi.com.ar/" TargetMode="External"/><Relationship Id="rId707" Type="http://schemas.openxmlformats.org/officeDocument/2006/relationships/hyperlink" Target="https://www.cope.es/n/306196" TargetMode="External"/><Relationship Id="rId914" Type="http://schemas.openxmlformats.org/officeDocument/2006/relationships/hyperlink" Target="https://www.mediterraneodigital.com/espana/espana/ridiculo-apoteosico-pedro-sanchez-pide-reformar-la-constitucion-para-incluir-un-articulo-que-ya-existe.html" TargetMode="External"/><Relationship Id="rId1337" Type="http://schemas.openxmlformats.org/officeDocument/2006/relationships/hyperlink" Target="https://pbs.twimg.com/media/Dt0YQW6WoAA5fCP.jpg" TargetMode="External"/><Relationship Id="rId1544" Type="http://schemas.openxmlformats.org/officeDocument/2006/relationships/hyperlink" Target="https://www.libremercado.com/2018-12-07/el-populismo-de-pedro-sanchez-se-extiende-al-sector-energetico-1276629287/" TargetMode="External"/><Relationship Id="rId1751" Type="http://schemas.openxmlformats.org/officeDocument/2006/relationships/hyperlink" Target="http://eldiario.es/" TargetMode="External"/><Relationship Id="rId2802" Type="http://schemas.openxmlformats.org/officeDocument/2006/relationships/hyperlink" Target="https://twitter.com/sanchezcastejon/status/1070736196228317184" TargetMode="External"/><Relationship Id="rId43" Type="http://schemas.openxmlformats.org/officeDocument/2006/relationships/hyperlink" Target="http://www.pedrocastro.es/" TargetMode="External"/><Relationship Id="rId1404" Type="http://schemas.openxmlformats.org/officeDocument/2006/relationships/hyperlink" Target="http://www.cope.es/" TargetMode="External"/><Relationship Id="rId1611" Type="http://schemas.openxmlformats.org/officeDocument/2006/relationships/hyperlink" Target="http://www.linaresnovenaprovincia.wordpress.com/" TargetMode="External"/><Relationship Id="rId3369" Type="http://schemas.openxmlformats.org/officeDocument/2006/relationships/hyperlink" Target="http://www.zoevaldes.net/" TargetMode="External"/><Relationship Id="rId497" Type="http://schemas.openxmlformats.org/officeDocument/2006/relationships/hyperlink" Target="https://www.libremercado.com/2018-12-07/el-populismo-de-pedro-sanchez-se-extiende-al-sector-energetico-1276629287/" TargetMode="External"/><Relationship Id="rId2178" Type="http://schemas.openxmlformats.org/officeDocument/2006/relationships/hyperlink" Target="https://pbs.twimg.com/media/DtyCtdcXQAAyoFA.jpg" TargetMode="External"/><Relationship Id="rId2385" Type="http://schemas.openxmlformats.org/officeDocument/2006/relationships/hyperlink" Target="http://www.sumarium.es/" TargetMode="External"/><Relationship Id="rId3229" Type="http://schemas.openxmlformats.org/officeDocument/2006/relationships/hyperlink" Target="https://m.facebook.com/?_rdr" TargetMode="External"/><Relationship Id="rId357" Type="http://schemas.openxmlformats.org/officeDocument/2006/relationships/hyperlink" Target="https://www.ivoox.com/podcast-estacas-benditas_sq_f1614523_1.html" TargetMode="External"/><Relationship Id="rId1194" Type="http://schemas.openxmlformats.org/officeDocument/2006/relationships/hyperlink" Target="http://bit.ly/EP_Venezuela" TargetMode="External"/><Relationship Id="rId2038" Type="http://schemas.openxmlformats.org/officeDocument/2006/relationships/hyperlink" Target="https://www.esdiario.com/151059239/Pedro-Sanchez-tambien-hara-huelga-de-hambre-en-solidaridad-con-los-presos.html" TargetMode="External"/><Relationship Id="rId2592" Type="http://schemas.openxmlformats.org/officeDocument/2006/relationships/hyperlink" Target="https://pbs.twimg.com/media/Dtwh7IPXcAMbVyn.jpg" TargetMode="External"/><Relationship Id="rId3436" Type="http://schemas.openxmlformats.org/officeDocument/2006/relationships/hyperlink" Target="http://j.mp/2EiWU75" TargetMode="External"/><Relationship Id="rId217" Type="http://schemas.openxmlformats.org/officeDocument/2006/relationships/hyperlink" Target="http://bit.ly/2B0S6z6" TargetMode="External"/><Relationship Id="rId564" Type="http://schemas.openxmlformats.org/officeDocument/2006/relationships/hyperlink" Target="http://pic.twitter.com/HfWQxVGiXu" TargetMode="External"/><Relationship Id="rId771" Type="http://schemas.openxmlformats.org/officeDocument/2006/relationships/hyperlink" Target="https://www.cope.es/n/306196" TargetMode="External"/><Relationship Id="rId2245" Type="http://schemas.openxmlformats.org/officeDocument/2006/relationships/hyperlink" Target="https://eltronodefroilan.wordpress.com/" TargetMode="External"/><Relationship Id="rId2452" Type="http://schemas.openxmlformats.org/officeDocument/2006/relationships/hyperlink" Target="https://pbs.twimg.com/media/DtwzBzgU0AADuHI.jpg" TargetMode="External"/><Relationship Id="rId424" Type="http://schemas.openxmlformats.org/officeDocument/2006/relationships/hyperlink" Target="http://blog.javierlarequi.com/" TargetMode="External"/><Relationship Id="rId631" Type="http://schemas.openxmlformats.org/officeDocument/2006/relationships/hyperlink" Target="http://marvelcinematicuniverse.wikia.com/wiki/Billy_Russo" TargetMode="External"/><Relationship Id="rId1054" Type="http://schemas.openxmlformats.org/officeDocument/2006/relationships/hyperlink" Target="https://www.esdiario.com/452403351/Las-cifras-del-panico-asi-conduce-Pedro-Sanchez-al-precipicio-al-PSOE-.html" TargetMode="External"/><Relationship Id="rId1261" Type="http://schemas.openxmlformats.org/officeDocument/2006/relationships/hyperlink" Target="http://www.linares28.es/" TargetMode="External"/><Relationship Id="rId2105" Type="http://schemas.openxmlformats.org/officeDocument/2006/relationships/hyperlink" Target="http://bit.ly/EP_Venezuela" TargetMode="External"/><Relationship Id="rId2312" Type="http://schemas.openxmlformats.org/officeDocument/2006/relationships/hyperlink" Target="https://www.eldiario.es/_32458250" TargetMode="External"/><Relationship Id="rId1121" Type="http://schemas.openxmlformats.org/officeDocument/2006/relationships/hyperlink" Target="https://pbs.twimg.com/media/Dt04aQYXcAAoYdY.jpg" TargetMode="External"/><Relationship Id="rId3086" Type="http://schemas.openxmlformats.org/officeDocument/2006/relationships/hyperlink" Target="http://liverdades.com/" TargetMode="External"/><Relationship Id="rId3293" Type="http://schemas.openxmlformats.org/officeDocument/2006/relationships/hyperlink" Target="http://videos.elmundo.es/v/0_lwslz5du-abucheos-a-pedro-sanchez" TargetMode="External"/><Relationship Id="rId1938" Type="http://schemas.openxmlformats.org/officeDocument/2006/relationships/hyperlink" Target="http://lecheybananas.blogspot.com/" TargetMode="External"/><Relationship Id="rId3153" Type="http://schemas.openxmlformats.org/officeDocument/2006/relationships/hyperlink" Target="http://www.zapper.news/" TargetMode="External"/><Relationship Id="rId3360" Type="http://schemas.openxmlformats.org/officeDocument/2006/relationships/hyperlink" Target="https://pbs.twimg.com/media/DtvFb-sWkAAmqBr.jpg" TargetMode="External"/><Relationship Id="rId281" Type="http://schemas.openxmlformats.org/officeDocument/2006/relationships/hyperlink" Target="https://abiertopp.es/" TargetMode="External"/><Relationship Id="rId3013" Type="http://schemas.openxmlformats.org/officeDocument/2006/relationships/hyperlink" Target="http://epmundo.com/2018/descontentos-asi-recibieron-a-pedro-sanchez-en-el-congreso-video/" TargetMode="External"/><Relationship Id="rId141" Type="http://schemas.openxmlformats.org/officeDocument/2006/relationships/hyperlink" Target="https://www.eleconomista.es/economia/noticias/9570197/12/18/Pedro-Sanchez-Existe-una-barrera-real-practicamente-insuperable-para-muchos-jovenes.html" TargetMode="External"/><Relationship Id="rId3220" Type="http://schemas.openxmlformats.org/officeDocument/2006/relationships/hyperlink" Target="http://bierzogpb.blogspot.com.es/" TargetMode="External"/><Relationship Id="rId7" Type="http://schemas.openxmlformats.org/officeDocument/2006/relationships/hyperlink" Target="http://www.convivenciacivica.org/" TargetMode="External"/><Relationship Id="rId2779" Type="http://schemas.openxmlformats.org/officeDocument/2006/relationships/hyperlink" Target="https://pbs.twimg.com/media/DtwOIsFXQAAKZuX.jpg" TargetMode="External"/><Relationship Id="rId2986" Type="http://schemas.openxmlformats.org/officeDocument/2006/relationships/hyperlink" Target="http://elconfidencial.com/" TargetMode="External"/><Relationship Id="rId958" Type="http://schemas.openxmlformats.org/officeDocument/2006/relationships/hyperlink" Target="http://epmundo.com/2018/descontentos-asi-recibieron-a-pedro-sanchez-en-el-congreso-video/" TargetMode="External"/><Relationship Id="rId1588" Type="http://schemas.openxmlformats.org/officeDocument/2006/relationships/hyperlink" Target="https://www.libremercado.com/2018-12-07/el-populismo-de-pedro-sanchez-se-extiende-al-sector-energetico-1276629287/" TargetMode="External"/><Relationship Id="rId1795" Type="http://schemas.openxmlformats.org/officeDocument/2006/relationships/hyperlink" Target="https://youtu.be/5Jm1uwUUSp0" TargetMode="External"/><Relationship Id="rId2639" Type="http://schemas.openxmlformats.org/officeDocument/2006/relationships/hyperlink" Target="https://pbs.twimg.com/media/DtweGkwXgAMbjfe.jpg" TargetMode="External"/><Relationship Id="rId2846" Type="http://schemas.openxmlformats.org/officeDocument/2006/relationships/hyperlink" Target="http://catfac.org/" TargetMode="External"/><Relationship Id="rId87" Type="http://schemas.openxmlformats.org/officeDocument/2006/relationships/hyperlink" Target="http://elconfidencial.com/" TargetMode="External"/><Relationship Id="rId818" Type="http://schemas.openxmlformats.org/officeDocument/2006/relationships/hyperlink" Target="https://www.cope.es/n/306196" TargetMode="External"/><Relationship Id="rId1448" Type="http://schemas.openxmlformats.org/officeDocument/2006/relationships/hyperlink" Target="http://www.expiracionyesperanza.com/" TargetMode="External"/><Relationship Id="rId1655" Type="http://schemas.openxmlformats.org/officeDocument/2006/relationships/hyperlink" Target="https://www.mediterraneodigital.com/espana/espana/ridiculo-apoteosico-pedro-sanchez-pide-reformar-la-constitucion-para-incluir-un-articulo-que-ya-existe.html" TargetMode="External"/><Relationship Id="rId2706" Type="http://schemas.openxmlformats.org/officeDocument/2006/relationships/hyperlink" Target="http://ow.ly/HXnv30mTeZH" TargetMode="External"/><Relationship Id="rId1308" Type="http://schemas.openxmlformats.org/officeDocument/2006/relationships/hyperlink" Target="http://www.noticierouniversal.com/" TargetMode="External"/><Relationship Id="rId1862" Type="http://schemas.openxmlformats.org/officeDocument/2006/relationships/hyperlink" Target="https://www.eldiestro.es/2018/12/pedro-sanchez-demuestra-ser-un-ignorante-y-un-caradura-en-una-entrevista-concedida-a-el-pais/" TargetMode="External"/><Relationship Id="rId2913" Type="http://schemas.openxmlformats.org/officeDocument/2006/relationships/hyperlink" Target="https://www.instagram.com/cenicienta_sin_prisa/" TargetMode="External"/><Relationship Id="rId1515" Type="http://schemas.openxmlformats.org/officeDocument/2006/relationships/hyperlink" Target="http://epmundo.com/2018/el-bombazo-que-lanzo-pedro-sanchez-sobre-las-elecciones-generales/" TargetMode="External"/><Relationship Id="rId1722" Type="http://schemas.openxmlformats.org/officeDocument/2006/relationships/hyperlink" Target="https://elpais.com/elpais/2018/12/06/opinion/1544088368_944892.amp.html?id_externo_rsoc=TW_CC&amp;__twitter_impression=true" TargetMode="External"/><Relationship Id="rId14" Type="http://schemas.openxmlformats.org/officeDocument/2006/relationships/hyperlink" Target="http://www.salvadorescalona.es/" TargetMode="External"/><Relationship Id="rId2289" Type="http://schemas.openxmlformats.org/officeDocument/2006/relationships/hyperlink" Target="https://www.20minutos.es/" TargetMode="External"/><Relationship Id="rId2496" Type="http://schemas.openxmlformats.org/officeDocument/2006/relationships/hyperlink" Target="http://www.malagahoy.es/" TargetMode="External"/><Relationship Id="rId468" Type="http://schemas.openxmlformats.org/officeDocument/2006/relationships/hyperlink" Target="http://espa&#241;a.es/" TargetMode="External"/><Relationship Id="rId675" Type="http://schemas.openxmlformats.org/officeDocument/2006/relationships/hyperlink" Target="https://www.cope.es/n/306196" TargetMode="External"/><Relationship Id="rId882" Type="http://schemas.openxmlformats.org/officeDocument/2006/relationships/hyperlink" Target="http://perumundotvnoticias.wordpress.com/" TargetMode="External"/><Relationship Id="rId1098" Type="http://schemas.openxmlformats.org/officeDocument/2006/relationships/hyperlink" Target="http://republica.com/" TargetMode="External"/><Relationship Id="rId2149" Type="http://schemas.openxmlformats.org/officeDocument/2006/relationships/hyperlink" Target="http://epmundo.com/2018/descontentos-asi-recibieron-a-pedro-sanchez-en-el-congreso-video/" TargetMode="External"/><Relationship Id="rId2356" Type="http://schemas.openxmlformats.org/officeDocument/2006/relationships/hyperlink" Target="https://m.eldiario.es/_3245823b" TargetMode="External"/><Relationship Id="rId2563" Type="http://schemas.openxmlformats.org/officeDocument/2006/relationships/hyperlink" Target="https://www.libertaddigital.com/espana/2018-12-06/pedro-sanchez-desconoce-la-constitucion-pide-reformarla-para-incluir-la-igualdad-entre-hombres-y-mujeres-1276629507/" TargetMode="External"/><Relationship Id="rId2770" Type="http://schemas.openxmlformats.org/officeDocument/2006/relationships/hyperlink" Target="http://cadenaser.com/ser/2018/12/06/politica/1544109884_146416.html" TargetMode="External"/><Relationship Id="rId3407" Type="http://schemas.openxmlformats.org/officeDocument/2006/relationships/hyperlink" Target="https://www.elmatinal.com/actualidad/echenique-exige-a-pedro-sanchez-que-juzgue-a-los-franquistas-y-convierta-el-valle-de-los-caidos-en-un-parque-de-atracciones/" TargetMode="External"/><Relationship Id="rId328" Type="http://schemas.openxmlformats.org/officeDocument/2006/relationships/hyperlink" Target="https://www.youtube.com/watch?v=3KGu0jSZYIM&amp;list=PL650Y28jDUauvB6NtMX-FHHslor4vf0sX&amp;index=7" TargetMode="External"/><Relationship Id="rId535" Type="http://schemas.openxmlformats.org/officeDocument/2006/relationships/hyperlink" Target="http://www.losoto.com/" TargetMode="External"/><Relationship Id="rId742" Type="http://schemas.openxmlformats.org/officeDocument/2006/relationships/hyperlink" Target="http://eldiario.es/" TargetMode="External"/><Relationship Id="rId1165" Type="http://schemas.openxmlformats.org/officeDocument/2006/relationships/hyperlink" Target="https://www.mediterraneodigital.com/espana/espana/ridiculo-apoteosico-pedro-sanchez-pide-reformar-la-constitucion-para-incluir-un-articulo-que-ya-existe.html" TargetMode="External"/><Relationship Id="rId1372" Type="http://schemas.openxmlformats.org/officeDocument/2006/relationships/hyperlink" Target="https://noticierouniversal.com/actualidad/pedro-sanchez-asistira-a-la-final-de-la-copa-libertadores-en-el-bernabeu/" TargetMode="External"/><Relationship Id="rId2009" Type="http://schemas.openxmlformats.org/officeDocument/2006/relationships/hyperlink" Target="https://www.elconfidencialdigital.com/articulo/politica/pedro-sanchez-amenaza-susana-diaz-repetir-operacion-acabo-tomas-gomez/20181205184900119027.html" TargetMode="External"/><Relationship Id="rId2216" Type="http://schemas.openxmlformats.org/officeDocument/2006/relationships/hyperlink" Target="http://puertasdoor-man.com/" TargetMode="External"/><Relationship Id="rId2423" Type="http://schemas.openxmlformats.org/officeDocument/2006/relationships/hyperlink" Target="http://verdaderaizquierda.blogspot.com/" TargetMode="External"/><Relationship Id="rId2630" Type="http://schemas.openxmlformats.org/officeDocument/2006/relationships/hyperlink" Target="https://www.libertaddigital.com/espana/2018-12-06/pedro-sanchez-desconoce-la-constitucion-pide-reformarla-para-incluir-la-igualdad-entre-hombres-y-mujeres-1276629507/" TargetMode="External"/><Relationship Id="rId602" Type="http://schemas.openxmlformats.org/officeDocument/2006/relationships/hyperlink" Target="http://about.me/migueldamiani" TargetMode="External"/><Relationship Id="rId1025" Type="http://schemas.openxmlformats.org/officeDocument/2006/relationships/hyperlink" Target="http://www.ramblalibre.com/" TargetMode="External"/><Relationship Id="rId1232" Type="http://schemas.openxmlformats.org/officeDocument/2006/relationships/hyperlink" Target="https://pbs.twimg.com/media/Dt0nP5AXgAApiXb.jpg" TargetMode="External"/><Relationship Id="rId3197" Type="http://schemas.openxmlformats.org/officeDocument/2006/relationships/hyperlink" Target="http://albertosanzblanco.wordpress.com/" TargetMode="External"/><Relationship Id="rId3057" Type="http://schemas.openxmlformats.org/officeDocument/2006/relationships/hyperlink" Target="http://videos.elmundo.es/v/0_lwslz5du-abucheos-a-pedro-sanchez" TargetMode="External"/><Relationship Id="rId185" Type="http://schemas.openxmlformats.org/officeDocument/2006/relationships/hyperlink" Target="https://pbs.twimg.com/media/Dt5osxJXgAEUqzw.jpg" TargetMode="External"/><Relationship Id="rId1909" Type="http://schemas.openxmlformats.org/officeDocument/2006/relationships/hyperlink" Target="https://okdiario.com/espana/2018/12/07/pedro-sanchez-reformar-constitucion-incluir-igualdad-hombres-mujeres-articulo-14-desde-hace-40-anos-3437620" TargetMode="External"/><Relationship Id="rId3264" Type="http://schemas.openxmlformats.org/officeDocument/2006/relationships/hyperlink" Target="https://youtu.be/2hRIGE0NpNo" TargetMode="External"/><Relationship Id="rId392" Type="http://schemas.openxmlformats.org/officeDocument/2006/relationships/hyperlink" Target="http://rcdlc.com/" TargetMode="External"/><Relationship Id="rId2073" Type="http://schemas.openxmlformats.org/officeDocument/2006/relationships/hyperlink" Target="https://www.libertaddigital.com/espana/2018-12-06/pedro-sanchez-desconoce-la-constitucion-pide-reformarla-para-incluir-la-igualdad-entre-hombres-y-mujeres-1276629507/" TargetMode="External"/><Relationship Id="rId2280" Type="http://schemas.openxmlformats.org/officeDocument/2006/relationships/hyperlink" Target="https://curiouscat.me/Dhei/post/726091059?t=1544137605" TargetMode="External"/><Relationship Id="rId3124" Type="http://schemas.openxmlformats.org/officeDocument/2006/relationships/hyperlink" Target="https://ift.tt/2G3yHmM" TargetMode="External"/><Relationship Id="rId3331" Type="http://schemas.openxmlformats.org/officeDocument/2006/relationships/hyperlink" Target="https://pbs.twimg.com/media/DtvISiuWwAAs5zB.jpg" TargetMode="External"/><Relationship Id="rId252" Type="http://schemas.openxmlformats.org/officeDocument/2006/relationships/hyperlink" Target="http://facebook.com/alfredo.cabal" TargetMode="External"/><Relationship Id="rId2140" Type="http://schemas.openxmlformats.org/officeDocument/2006/relationships/hyperlink" Target="https://pbs.twimg.com/media/DtyXpCfWoAA65NV.jpg" TargetMode="External"/><Relationship Id="rId112" Type="http://schemas.openxmlformats.org/officeDocument/2006/relationships/hyperlink" Target="https://twitter.com/Er_Richal/status/1071408658582564864" TargetMode="External"/><Relationship Id="rId1699" Type="http://schemas.openxmlformats.org/officeDocument/2006/relationships/hyperlink" Target="https://m.facebook.com/?_rdr" TargetMode="External"/><Relationship Id="rId2000" Type="http://schemas.openxmlformats.org/officeDocument/2006/relationships/hyperlink" Target="http://www.aemab.es/" TargetMode="External"/><Relationship Id="rId2957" Type="http://schemas.openxmlformats.org/officeDocument/2006/relationships/hyperlink" Target="https://www.elconfidencial.com/espana/2018-12-06/pedro-sanchez-constitucion-pitos-abucheos-afinsa-forum-filatelico_1690530/?utm_source=facebook&amp;utm_medium=social&amp;utm_campaign=BotoneraWeb" TargetMode="External"/><Relationship Id="rId929" Type="http://schemas.openxmlformats.org/officeDocument/2006/relationships/hyperlink" Target="https://www.libertaddigital.com/espana/2018-12-06/pedro-sanchez-desconoce-la-constitucion-pide-reformarla-para-incluir-la-igualdad-entre-hombres-y-mujeres-1276629507/" TargetMode="External"/><Relationship Id="rId1559" Type="http://schemas.openxmlformats.org/officeDocument/2006/relationships/hyperlink" Target="https://pbs.twimg.com/media/DtwD3bhX4AA_qWG.jpg" TargetMode="External"/><Relationship Id="rId1766" Type="http://schemas.openxmlformats.org/officeDocument/2006/relationships/hyperlink" Target="http://chng.it/bQgKgxC4" TargetMode="External"/><Relationship Id="rId1973" Type="http://schemas.openxmlformats.org/officeDocument/2006/relationships/hyperlink" Target="https://georgeorwell67.blogspot.com/" TargetMode="External"/><Relationship Id="rId2817" Type="http://schemas.openxmlformats.org/officeDocument/2006/relationships/hyperlink" Target="https://www.esdiario.com/238196932/El-verdadero-CIS-de-Pedro-Sanchez-otro-espectacular-abucheo-en-el-Congreso.html" TargetMode="External"/><Relationship Id="rId58" Type="http://schemas.openxmlformats.org/officeDocument/2006/relationships/hyperlink" Target="https://www.lavanguardia.com/politica/20181208/453434819359/pedro-sanchez-llama-socialdemocratas-hacer-mas-extrema-derecha-elecciones-europeas.html?utm_source=twitter_lv&amp;utm_medium=social" TargetMode="External"/><Relationship Id="rId1419" Type="http://schemas.openxmlformats.org/officeDocument/2006/relationships/hyperlink" Target="https://twitter.com/RCDeportivo/status/1071019955888553984" TargetMode="External"/><Relationship Id="rId1626" Type="http://schemas.openxmlformats.org/officeDocument/2006/relationships/hyperlink" Target="https://twitter.com/sanchezcastejon/status/1070736196228317184" TargetMode="External"/><Relationship Id="rId1833" Type="http://schemas.openxmlformats.org/officeDocument/2006/relationships/hyperlink" Target="https://pbs.twimg.com/media/DtzbY-lXcAA-OLl.jpg" TargetMode="External"/><Relationship Id="rId1900" Type="http://schemas.openxmlformats.org/officeDocument/2006/relationships/hyperlink" Target="https://www.elconfidencial.com/elecciones-andalucia/2018-12-07/juanma-moreno-junta-andalucia-pp-ciudadanos_1690478/" TargetMode="External"/><Relationship Id="rId579" Type="http://schemas.openxmlformats.org/officeDocument/2006/relationships/hyperlink" Target="http://okdiario.com/economia/2018/12/08/italia-credibilidad-presupuestos-pedro-sanchez-denunciar-ue-trato-discriminatorio-3437675" TargetMode="External"/><Relationship Id="rId786" Type="http://schemas.openxmlformats.org/officeDocument/2006/relationships/hyperlink" Target="https://m.facebook.com/?_rdr" TargetMode="External"/><Relationship Id="rId993" Type="http://schemas.openxmlformats.org/officeDocument/2006/relationships/hyperlink" Target="http://dlvr.it/Qt4rq5" TargetMode="External"/><Relationship Id="rId2467" Type="http://schemas.openxmlformats.org/officeDocument/2006/relationships/hyperlink" Target="http://cotidianaplace.blogspot.com.es/" TargetMode="External"/><Relationship Id="rId2674" Type="http://schemas.openxmlformats.org/officeDocument/2006/relationships/hyperlink" Target="https://politica.e-noticies.es/torra-busca-en-europa-una-salida-al-proceso-121178.html" TargetMode="External"/><Relationship Id="rId439" Type="http://schemas.openxmlformats.org/officeDocument/2006/relationships/hyperlink" Target="http://atres.red/0sseh10" TargetMode="External"/><Relationship Id="rId646" Type="http://schemas.openxmlformats.org/officeDocument/2006/relationships/hyperlink" Target="http://bit.ly/EP_Venezuela" TargetMode="External"/><Relationship Id="rId1069" Type="http://schemas.openxmlformats.org/officeDocument/2006/relationships/hyperlink" Target="http://pic.twitter.com/OQG1e8VgAA" TargetMode="External"/><Relationship Id="rId1276" Type="http://schemas.openxmlformats.org/officeDocument/2006/relationships/hyperlink" Target="http://diariomyr.com/" TargetMode="External"/><Relationship Id="rId1483" Type="http://schemas.openxmlformats.org/officeDocument/2006/relationships/hyperlink" Target="https://www.publico.es/politica/detenido-ultra-matanza-abogados-atocha-pedro-sanchez.html" TargetMode="External"/><Relationship Id="rId2327" Type="http://schemas.openxmlformats.org/officeDocument/2006/relationships/hyperlink" Target="https://www.facebook.com/sinTrincheras/" TargetMode="External"/><Relationship Id="rId2881" Type="http://schemas.openxmlformats.org/officeDocument/2006/relationships/hyperlink" Target="https://pbs.twimg.com/media/Dtv9v-kXgAMxAJV.jpg" TargetMode="External"/><Relationship Id="rId506" Type="http://schemas.openxmlformats.org/officeDocument/2006/relationships/hyperlink" Target="https://www.mediterraneodigital.com/espana/espana/ridiculo-apoteosico-pedro-sanchez-pide-reformar-la-constitucion-para-incluir-un-articulo-que-ya-existe.html" TargetMode="External"/><Relationship Id="rId853" Type="http://schemas.openxmlformats.org/officeDocument/2006/relationships/hyperlink" Target="http://www.esperanzagalindo.com/" TargetMode="External"/><Relationship Id="rId1136" Type="http://schemas.openxmlformats.org/officeDocument/2006/relationships/hyperlink" Target="https://cucharadepalo.org/" TargetMode="External"/><Relationship Id="rId1690" Type="http://schemas.openxmlformats.org/officeDocument/2006/relationships/hyperlink" Target="http://pic.twitter.com/ibw26j7U4C" TargetMode="External"/><Relationship Id="rId2534" Type="http://schemas.openxmlformats.org/officeDocument/2006/relationships/hyperlink" Target="https://m.eldiario.es/_32458250" TargetMode="External"/><Relationship Id="rId2741" Type="http://schemas.openxmlformats.org/officeDocument/2006/relationships/hyperlink" Target="https://www.eldiario.es/politica/Pedro-Sanchez-reforma-Constitucion-igualdad_0_843416144.html" TargetMode="External"/><Relationship Id="rId713" Type="http://schemas.openxmlformats.org/officeDocument/2006/relationships/hyperlink" Target="http://chng.it/MkkQfdx4" TargetMode="External"/><Relationship Id="rId920" Type="http://schemas.openxmlformats.org/officeDocument/2006/relationships/hyperlink" Target="https://pbs.twimg.com/media/Dt01QYCXQAIjLcz.jpg" TargetMode="External"/><Relationship Id="rId1343" Type="http://schemas.openxmlformats.org/officeDocument/2006/relationships/hyperlink" Target="http://j.mp/2EiWU75" TargetMode="External"/><Relationship Id="rId1550" Type="http://schemas.openxmlformats.org/officeDocument/2006/relationships/hyperlink" Target="https://okdiario.com/espana/2018/12/07/pedro-sanchez-reformar-constitucion-incluir-igualdad-hombres-mujeres-articulo-14-desde-hace-40-anos-3437620/amp" TargetMode="External"/><Relationship Id="rId2601" Type="http://schemas.openxmlformats.org/officeDocument/2006/relationships/hyperlink" Target="https://okdiario.com/espana/2018/12/06/pedro-sanchez-no-forzara-relevo-susana-diaz-dejara-psoe-andaluz-fulmine-3434507" TargetMode="External"/><Relationship Id="rId1203" Type="http://schemas.openxmlformats.org/officeDocument/2006/relationships/hyperlink" Target="http://j.mp/2rpCMY8" TargetMode="External"/><Relationship Id="rId1410" Type="http://schemas.openxmlformats.org/officeDocument/2006/relationships/hyperlink" Target="https://www.facebook.com/363646630420744/posts/1931116637007061/" TargetMode="External"/><Relationship Id="rId3168" Type="http://schemas.openxmlformats.org/officeDocument/2006/relationships/hyperlink" Target="http://www.lextres.com/" TargetMode="External"/><Relationship Id="rId3375" Type="http://schemas.openxmlformats.org/officeDocument/2006/relationships/hyperlink" Target="http://www.facebook.com/groups/yosoynaranjito" TargetMode="External"/><Relationship Id="rId296" Type="http://schemas.openxmlformats.org/officeDocument/2006/relationships/hyperlink" Target="https://okdiario.com/espana/cataluna/2018/12/08/sanchez-ofrece-separatistas-reconocer-cataluna-como-nacion-cambio-del-si-presupuestos-3439890/amp" TargetMode="External"/><Relationship Id="rId2184" Type="http://schemas.openxmlformats.org/officeDocument/2006/relationships/hyperlink" Target="http://epmundo.com/2018/descontentos-asi-recibieron-a-pedro-sanchez-en-el-congreso-video/?utm_source=twitter&amp;utm_medium=social&amp;utm_campaign=ReviveOldPost" TargetMode="External"/><Relationship Id="rId2391" Type="http://schemas.openxmlformats.org/officeDocument/2006/relationships/hyperlink" Target="https://pbs.twimg.com/media/Dtw4fZKWsAA5Skn.jpg" TargetMode="External"/><Relationship Id="rId3028" Type="http://schemas.openxmlformats.org/officeDocument/2006/relationships/hyperlink" Target="https://www.facebook.com/Antonio-de-la-torre-30188273940/" TargetMode="External"/><Relationship Id="rId3235" Type="http://schemas.openxmlformats.org/officeDocument/2006/relationships/hyperlink" Target="https://www.ideal.es/40-aniversario-constitucion/pedro-sanchez-lleva-20181206123919-ntrc.html" TargetMode="External"/><Relationship Id="rId156" Type="http://schemas.openxmlformats.org/officeDocument/2006/relationships/hyperlink" Target="https://www.20minutos.es/noticia/3511559/0/pedro-sanchez-proeuropeo-apoyarse-fuerzas-antieuropeistas-gobernar/?utm_source=twitter.com&amp;utm_medium=socialshare&amp;utm_campaign=desktop" TargetMode="External"/><Relationship Id="rId363" Type="http://schemas.openxmlformats.org/officeDocument/2006/relationships/hyperlink" Target="https://es.linkedin.com/in/puxapali" TargetMode="External"/><Relationship Id="rId570" Type="http://schemas.openxmlformats.org/officeDocument/2006/relationships/hyperlink" Target="http://www.youtube.com/watch?v=HTADQ-w77bw" TargetMode="External"/><Relationship Id="rId2044" Type="http://schemas.openxmlformats.org/officeDocument/2006/relationships/hyperlink" Target="https://www.libremercado.com/2018-12-07/el-populismo-de-pedro-sanchez-se-extiende-al-sector-energetico-1276629287/" TargetMode="External"/><Relationship Id="rId2251" Type="http://schemas.openxmlformats.org/officeDocument/2006/relationships/hyperlink" Target="http://atres.red/c4av84" TargetMode="External"/><Relationship Id="rId3302" Type="http://schemas.openxmlformats.org/officeDocument/2006/relationships/hyperlink" Target="https://www.facebook.com/gabrieljimenezhalamadrid" TargetMode="External"/><Relationship Id="rId223" Type="http://schemas.openxmlformats.org/officeDocument/2006/relationships/hyperlink" Target="http://epmundo.com/2018/el-bombazo-que-lanzo-pedro-sanchez-sobre-las-elecciones-generales/" TargetMode="External"/><Relationship Id="rId430" Type="http://schemas.openxmlformats.org/officeDocument/2006/relationships/hyperlink" Target="https://pbs.twimg.com/media/Dt4xRF9WoAAP9jh.jpg" TargetMode="External"/><Relationship Id="rId1060" Type="http://schemas.openxmlformats.org/officeDocument/2006/relationships/hyperlink" Target="http://www.ciudadrealdigital.es/" TargetMode="External"/><Relationship Id="rId2111" Type="http://schemas.openxmlformats.org/officeDocument/2006/relationships/hyperlink" Target="https://pbs.twimg.com/media/DtyvdKwVsAA5eqB.jpg" TargetMode="External"/><Relationship Id="rId1877" Type="http://schemas.openxmlformats.org/officeDocument/2006/relationships/hyperlink" Target="http://okdiario.com/espana/2018/12/06/pedro-sanchez-no-forzara-relevo-susana-diaz-dejara-psoe-andaluz-fulmine-3434507" TargetMode="External"/><Relationship Id="rId2928" Type="http://schemas.openxmlformats.org/officeDocument/2006/relationships/hyperlink" Target="http://antonioperal.blogspot.com/" TargetMode="External"/><Relationship Id="rId1737" Type="http://schemas.openxmlformats.org/officeDocument/2006/relationships/hyperlink" Target="https://www.nuevatribuna.es/opinion/juan-antonio-molina/susana-diaz-decadencia-socialismo-andaluz/20181206105859158183.html" TargetMode="External"/><Relationship Id="rId1944" Type="http://schemas.openxmlformats.org/officeDocument/2006/relationships/hyperlink" Target="http://www.mariaeugeniaeyras.wordpress.com/" TargetMode="External"/><Relationship Id="rId3092" Type="http://schemas.openxmlformats.org/officeDocument/2006/relationships/hyperlink" Target="http://revistamirall.com/author/jordisarrion/" TargetMode="External"/><Relationship Id="rId29" Type="http://schemas.openxmlformats.org/officeDocument/2006/relationships/hyperlink" Target="http://www.salvadorescalona.es/" TargetMode="External"/><Relationship Id="rId1804" Type="http://schemas.openxmlformats.org/officeDocument/2006/relationships/hyperlink" Target="https://buff.ly/2QjJDgZ" TargetMode="External"/><Relationship Id="rId897" Type="http://schemas.openxmlformats.org/officeDocument/2006/relationships/hyperlink" Target="https://pbs.twimg.com/media/Dt1mj4hWoAAt4Ol.jpg" TargetMode="External"/><Relationship Id="rId2578" Type="http://schemas.openxmlformats.org/officeDocument/2006/relationships/hyperlink" Target="http://merianmi.wordpress.com/" TargetMode="External"/><Relationship Id="rId2785" Type="http://schemas.openxmlformats.org/officeDocument/2006/relationships/hyperlink" Target="https://youtu.be/Y34_KPcQ7rU" TargetMode="External"/><Relationship Id="rId2992" Type="http://schemas.openxmlformats.org/officeDocument/2006/relationships/hyperlink" Target="http://www.lasexta.com/noticias/" TargetMode="External"/><Relationship Id="rId757" Type="http://schemas.openxmlformats.org/officeDocument/2006/relationships/hyperlink" Target="https://www.mediterraneodigital.com/espana/espana/ridiculo-apoteosico-pedro-sanchez-pide-reformar-la-constitucion-para-incluir-un-articulo-que-ya-existe.html?fbclid=IwAR3QSjZVU4GvSYJeODttr7OaNXJyxDs-AmLzAx99XyT3TvgMPcVJqv1D9qo" TargetMode="External"/><Relationship Id="rId964" Type="http://schemas.openxmlformats.org/officeDocument/2006/relationships/hyperlink" Target="http://bit.ly/2QD1RNE" TargetMode="External"/><Relationship Id="rId1387" Type="http://schemas.openxmlformats.org/officeDocument/2006/relationships/hyperlink" Target="https://mobile.twitter.com/linarespp/status/1071028931879419904" TargetMode="External"/><Relationship Id="rId1594" Type="http://schemas.openxmlformats.org/officeDocument/2006/relationships/hyperlink" Target="http://www.sajimes.blogspot.com/" TargetMode="External"/><Relationship Id="rId2438" Type="http://schemas.openxmlformats.org/officeDocument/2006/relationships/hyperlink" Target="http://www.salvararchivosalamanca.es/" TargetMode="External"/><Relationship Id="rId2645" Type="http://schemas.openxmlformats.org/officeDocument/2006/relationships/hyperlink" Target="https://www.abc.es/espana/abci-pedro-sanchez-llega-entre-abucheos-congreso-40-aniversario-constitucion-201812061227_noticia.html" TargetMode="External"/><Relationship Id="rId2852" Type="http://schemas.openxmlformats.org/officeDocument/2006/relationships/hyperlink" Target="https://pbs.twimg.com/media/DtlmWrUXQAMA1NA.jpg" TargetMode="External"/><Relationship Id="rId93" Type="http://schemas.openxmlformats.org/officeDocument/2006/relationships/hyperlink" Target="http://pic.twitter.com/b67WyVUu6g" TargetMode="External"/><Relationship Id="rId617" Type="http://schemas.openxmlformats.org/officeDocument/2006/relationships/hyperlink" Target="http://epmundo.com/" TargetMode="External"/><Relationship Id="rId824" Type="http://schemas.openxmlformats.org/officeDocument/2006/relationships/hyperlink" Target="https://pbs.twimg.com/media/Dt11IU-UUAAiYeX.jpg" TargetMode="External"/><Relationship Id="rId1247" Type="http://schemas.openxmlformats.org/officeDocument/2006/relationships/hyperlink" Target="http://cilus.eu/" TargetMode="External"/><Relationship Id="rId1454" Type="http://schemas.openxmlformats.org/officeDocument/2006/relationships/hyperlink" Target="https://mact.es/2roPDtI" TargetMode="External"/><Relationship Id="rId1661" Type="http://schemas.openxmlformats.org/officeDocument/2006/relationships/hyperlink" Target="http://a.msn.com/01/es-es/BBQBgLx?ocid=st" TargetMode="External"/><Relationship Id="rId2505" Type="http://schemas.openxmlformats.org/officeDocument/2006/relationships/hyperlink" Target="http://www.granadahoy.com/" TargetMode="External"/><Relationship Id="rId2712" Type="http://schemas.openxmlformats.org/officeDocument/2006/relationships/hyperlink" Target="https://m.eldiario.es/politica/Pedro-Sanchez-reforma-Constitucion-igualdad_0_843416144.html" TargetMode="External"/><Relationship Id="rId1107" Type="http://schemas.openxmlformats.org/officeDocument/2006/relationships/hyperlink" Target="http://ver.20m.es/6j_lq1" TargetMode="External"/><Relationship Id="rId1314" Type="http://schemas.openxmlformats.org/officeDocument/2006/relationships/hyperlink" Target="https://pbs.twimg.com/media/Dt0dfn3V4AEzycN.jpg" TargetMode="External"/><Relationship Id="rId1521" Type="http://schemas.openxmlformats.org/officeDocument/2006/relationships/hyperlink" Target="https://m.publico.es/politica/2071563/el-gobierno-aprobara-la-subida-del-salario-minimo-este-mes-para-que-entre-en-vigor-en-enero/amp?__twitter_impression=true" TargetMode="External"/><Relationship Id="rId3279" Type="http://schemas.openxmlformats.org/officeDocument/2006/relationships/hyperlink" Target="https://www.elicebergdemadrid.com/nacional/pedro-sanchez-explica-la-necesidad-de-adaptar-la-constitucion/" TargetMode="External"/><Relationship Id="rId20" Type="http://schemas.openxmlformats.org/officeDocument/2006/relationships/hyperlink" Target="http://www.noticias24horas.com/" TargetMode="External"/><Relationship Id="rId2088" Type="http://schemas.openxmlformats.org/officeDocument/2006/relationships/hyperlink" Target="http://dlvr.it/Qt2Rj6" TargetMode="External"/><Relationship Id="rId2295" Type="http://schemas.openxmlformats.org/officeDocument/2006/relationships/hyperlink" Target="https://www.instagram.com/p/BrECk4rgb49/?utm_source=ig_twitter_share&amp;igshid=bmszu9m5br9f" TargetMode="External"/><Relationship Id="rId3139" Type="http://schemas.openxmlformats.org/officeDocument/2006/relationships/hyperlink" Target="https://f7td5.app.goo.gl/16iW9" TargetMode="External"/><Relationship Id="rId3346" Type="http://schemas.openxmlformats.org/officeDocument/2006/relationships/hyperlink" Target="https://elpais.com/politica/2018/12/04/actualidad/1543916726_658727.html?id_externo_rsoc=TW_CC" TargetMode="External"/><Relationship Id="rId267" Type="http://schemas.openxmlformats.org/officeDocument/2006/relationships/hyperlink" Target="http://youtu.be/kUoYiZvnpdk?a" TargetMode="External"/><Relationship Id="rId474" Type="http://schemas.openxmlformats.org/officeDocument/2006/relationships/hyperlink" Target="http://www.infoaguilas.es/" TargetMode="External"/><Relationship Id="rId2155" Type="http://schemas.openxmlformats.org/officeDocument/2006/relationships/hyperlink" Target="https://pbs.twimg.com/media/DtySwqyWwAIEUQz.jpg" TargetMode="External"/><Relationship Id="rId127" Type="http://schemas.openxmlformats.org/officeDocument/2006/relationships/hyperlink" Target="https://liverdades.com/tratado-de-utrecht-dos/" TargetMode="External"/><Relationship Id="rId681" Type="http://schemas.openxmlformats.org/officeDocument/2006/relationships/hyperlink" Target="https://www.eldiestro.es/2018/12/pedro-sanchez-demuestra-ser-un-ignorante-y-un-caradura-en-una-entrevista-concedida-a-el-pais/" TargetMode="External"/><Relationship Id="rId779" Type="http://schemas.openxmlformats.org/officeDocument/2006/relationships/hyperlink" Target="http://www.ramblalibre.com/" TargetMode="External"/><Relationship Id="rId986" Type="http://schemas.openxmlformats.org/officeDocument/2006/relationships/hyperlink" Target="https://www.cope.es/n/306196" TargetMode="External"/><Relationship Id="rId2362" Type="http://schemas.openxmlformats.org/officeDocument/2006/relationships/hyperlink" Target="https://www.amazon.es/gp/aw/d/1986069257/ref=mp_s_a_1_1?__mk_es_ES=%C3%85M%C3%85Z%C3%95%C3%91&amp;qid=15" TargetMode="External"/><Relationship Id="rId2667" Type="http://schemas.openxmlformats.org/officeDocument/2006/relationships/hyperlink" Target="https://pbs.twimg.com/media/DtwD3bhX4AA_qWG.jpg" TargetMode="External"/><Relationship Id="rId3206" Type="http://schemas.openxmlformats.org/officeDocument/2006/relationships/hyperlink" Target="http://feeds.periodistadigital.com/~r/PDPortada/~3/j8s_vf3JwEU/begona-gomez-6-000-euros-de-nomina-mensual-de-una-empresa-en-la-que-no-trabaja.shtml" TargetMode="External"/><Relationship Id="rId3413" Type="http://schemas.openxmlformats.org/officeDocument/2006/relationships/hyperlink" Target="http://bit.ly/2Qk6ug7" TargetMode="External"/><Relationship Id="rId334" Type="http://schemas.openxmlformats.org/officeDocument/2006/relationships/hyperlink" Target="https://pbs.twimg.com/media/Dt47Gx7XgAA68Tl.jpg" TargetMode="External"/><Relationship Id="rId541" Type="http://schemas.openxmlformats.org/officeDocument/2006/relationships/hyperlink" Target="https://m.eldiario.es/_3245823b" TargetMode="External"/><Relationship Id="rId639" Type="http://schemas.openxmlformats.org/officeDocument/2006/relationships/hyperlink" Target="http://bit.ly/EP_Venezuela" TargetMode="External"/><Relationship Id="rId1171" Type="http://schemas.openxmlformats.org/officeDocument/2006/relationships/hyperlink" Target="https://www.cope.es/n/306196" TargetMode="External"/><Relationship Id="rId1269" Type="http://schemas.openxmlformats.org/officeDocument/2006/relationships/hyperlink" Target="http://dlvr.it/Qt40dx" TargetMode="External"/><Relationship Id="rId1476" Type="http://schemas.openxmlformats.org/officeDocument/2006/relationships/hyperlink" Target="https://okdiario.com/espana/2018/12/07/pedro-sanchez-reformar-constitucion-incluir-igualdad-hombres-mujeres-articulo-14-desde-hace-40-anos-3437620/amp" TargetMode="External"/><Relationship Id="rId2015" Type="http://schemas.openxmlformats.org/officeDocument/2006/relationships/hyperlink" Target="https://www.elconfidencial.com/espana/2018-12-06/pedro-sanchez-adelanto-electoral-marzo-seguiremos-trabajando-gobernando_1690978/?utm_source=twitter&amp;utm_medium=social&amp;utm_campaign=BotoneraWeb" TargetMode="External"/><Relationship Id="rId2222" Type="http://schemas.openxmlformats.org/officeDocument/2006/relationships/hyperlink" Target="https://pbs.twimg.com/media/DtvJGiLW0AAhUcI.jpg" TargetMode="External"/><Relationship Id="rId2874" Type="http://schemas.openxmlformats.org/officeDocument/2006/relationships/hyperlink" Target="https://www.libertaddigital.com/espana/politica/2018-12-06/abuheo-general-a-pedro-sanchez-convoca-elecciones-1276629479/" TargetMode="External"/><Relationship Id="rId401" Type="http://schemas.openxmlformats.org/officeDocument/2006/relationships/hyperlink" Target="https://pbs.twimg.com/media/Dt449w1XgAA6yzb.jpg" TargetMode="External"/><Relationship Id="rId846" Type="http://schemas.openxmlformats.org/officeDocument/2006/relationships/hyperlink" Target="https://youtu.be/OBEluUwFIu0" TargetMode="External"/><Relationship Id="rId1031" Type="http://schemas.openxmlformats.org/officeDocument/2006/relationships/hyperlink" Target="http://bechyapfgmail.com/" TargetMode="External"/><Relationship Id="rId1129" Type="http://schemas.openxmlformats.org/officeDocument/2006/relationships/hyperlink" Target="http://page.is/larevuelo53" TargetMode="External"/><Relationship Id="rId1683" Type="http://schemas.openxmlformats.org/officeDocument/2006/relationships/hyperlink" Target="https://pbs.twimg.com/media/DtzvQRlX4AAeIp3.jpg" TargetMode="External"/><Relationship Id="rId1890" Type="http://schemas.openxmlformats.org/officeDocument/2006/relationships/hyperlink" Target="http://juanjocerezo.acnshop.eu/" TargetMode="External"/><Relationship Id="rId1988" Type="http://schemas.openxmlformats.org/officeDocument/2006/relationships/hyperlink" Target="https://okdiario.com/espana/2018/12/07/pedro-sanchez-reformar-constitucion-incluir-igualdad-hombres-mujeres-articulo-14-desde-hace-40-anos-3437620" TargetMode="External"/><Relationship Id="rId2527" Type="http://schemas.openxmlformats.org/officeDocument/2006/relationships/hyperlink" Target="http://pic.twitter.com/Qirq5pira0" TargetMode="External"/><Relationship Id="rId2734" Type="http://schemas.openxmlformats.org/officeDocument/2006/relationships/hyperlink" Target="http://www.transcendenciasydescendencias.blogspot.com/" TargetMode="External"/><Relationship Id="rId2941" Type="http://schemas.openxmlformats.org/officeDocument/2006/relationships/hyperlink" Target="http://ow.ly/yu1e30mThmU" TargetMode="External"/><Relationship Id="rId706" Type="http://schemas.openxmlformats.org/officeDocument/2006/relationships/hyperlink" Target="https://delmoraloblog.wordpress.com/" TargetMode="External"/><Relationship Id="rId913" Type="http://schemas.openxmlformats.org/officeDocument/2006/relationships/hyperlink" Target="https://www.cope.es/n/306196" TargetMode="External"/><Relationship Id="rId1336" Type="http://schemas.openxmlformats.org/officeDocument/2006/relationships/hyperlink" Target="http://bit.ly/2rrGQr8" TargetMode="External"/><Relationship Id="rId1543" Type="http://schemas.openxmlformats.org/officeDocument/2006/relationships/hyperlink" Target="https://disidentes.online/" TargetMode="External"/><Relationship Id="rId1750" Type="http://schemas.openxmlformats.org/officeDocument/2006/relationships/hyperlink" Target="https://www.diariodesevilla.es/_4de6c611" TargetMode="External"/><Relationship Id="rId2801" Type="http://schemas.openxmlformats.org/officeDocument/2006/relationships/hyperlink" Target="https://pbs.twimg.com/media/DtwD3bhX4AA_qWG.jpg" TargetMode="External"/><Relationship Id="rId42" Type="http://schemas.openxmlformats.org/officeDocument/2006/relationships/hyperlink" Target="https://www.elconfidencial.com/espana/2018-12-08/pedro-sanchez-lisboa-congreso-pes-antonio-costa-hacer-mucho-mas-ultraderecha_1693226/?utm_source=twitter&amp;utm_medium=social&amp;utm_campaign=BotoneraWeb" TargetMode="External"/><Relationship Id="rId1403" Type="http://schemas.openxmlformats.org/officeDocument/2006/relationships/hyperlink" Target="http://ww.cope.es/njcrc1" TargetMode="External"/><Relationship Id="rId1610" Type="http://schemas.openxmlformats.org/officeDocument/2006/relationships/hyperlink" Target="https://pbs.twimg.com/media/Dtz37WYXgAAHp2E.jpg" TargetMode="External"/><Relationship Id="rId1848" Type="http://schemas.openxmlformats.org/officeDocument/2006/relationships/hyperlink" Target="https://www.diariosur.es/interior/alcalde-campillos-pide-20181207000314-ntvo.html" TargetMode="External"/><Relationship Id="rId3063" Type="http://schemas.openxmlformats.org/officeDocument/2006/relationships/hyperlink" Target="http://bit.ly/2REcoW3" TargetMode="External"/><Relationship Id="rId3270" Type="http://schemas.openxmlformats.org/officeDocument/2006/relationships/hyperlink" Target="http://bit.ly/2PpBvKe" TargetMode="External"/><Relationship Id="rId191" Type="http://schemas.openxmlformats.org/officeDocument/2006/relationships/hyperlink" Target="https://pbs.twimg.com/media/Dt5oN8LU4AI8RI-.jpg" TargetMode="External"/><Relationship Id="rId1708" Type="http://schemas.openxmlformats.org/officeDocument/2006/relationships/hyperlink" Target="http://pic.twitter.com/fGx6x0dPPE" TargetMode="External"/><Relationship Id="rId1915" Type="http://schemas.openxmlformats.org/officeDocument/2006/relationships/hyperlink" Target="http://www.elclubdelosviernes.org/" TargetMode="External"/><Relationship Id="rId3130" Type="http://schemas.openxmlformats.org/officeDocument/2006/relationships/hyperlink" Target="http://shr.gs/WFfTGO" TargetMode="External"/><Relationship Id="rId3368" Type="http://schemas.openxmlformats.org/officeDocument/2006/relationships/hyperlink" Target="https://pbs.twimg.com/media/DtvEqLGU8AAoOjD.jpg" TargetMode="External"/><Relationship Id="rId289" Type="http://schemas.openxmlformats.org/officeDocument/2006/relationships/hyperlink" Target="https://newtral.es/fact-check/sanchez-sobre-el-loreto-antes-con-el-aquarius-no-habia-un-puerto-seguro-cercano-y-ahora-si-lo-hay/" TargetMode="External"/><Relationship Id="rId496" Type="http://schemas.openxmlformats.org/officeDocument/2006/relationships/hyperlink" Target="http://xfru.it/47Z2Vu" TargetMode="External"/><Relationship Id="rId2177" Type="http://schemas.openxmlformats.org/officeDocument/2006/relationships/hyperlink" Target="http://epmundo.com/2018/descontentos-asi-recibieron-a-pedro-sanchez-en-el-congreso-video/" TargetMode="External"/><Relationship Id="rId2384" Type="http://schemas.openxmlformats.org/officeDocument/2006/relationships/hyperlink" Target="https://pbs.twimg.com/media/DtvwKUTWkAIf1Wn.jpg" TargetMode="External"/><Relationship Id="rId2591" Type="http://schemas.openxmlformats.org/officeDocument/2006/relationships/hyperlink" Target="https://www.libertaddigital.com/espana/2018-12-06/pedro-sanchez-desconoce-la-constitucion-pide-reformarla-para-incluir-la-igualdad-entre-hombres-y-mujeres-1276629507/" TargetMode="External"/><Relationship Id="rId3228" Type="http://schemas.openxmlformats.org/officeDocument/2006/relationships/hyperlink" Target="https://youtu.be/xdXgMv2xa8s" TargetMode="External"/><Relationship Id="rId3435" Type="http://schemas.openxmlformats.org/officeDocument/2006/relationships/hyperlink" Target="https://www.facebook.com/pages/Tuiteo-Barquisimeto/613972641961403" TargetMode="External"/><Relationship Id="rId149" Type="http://schemas.openxmlformats.org/officeDocument/2006/relationships/hyperlink" Target="https://twitter.com/hospederiavc/status/1071153677245796352" TargetMode="External"/><Relationship Id="rId356" Type="http://schemas.openxmlformats.org/officeDocument/2006/relationships/hyperlink" Target="http://copiajuridica.es/" TargetMode="External"/><Relationship Id="rId563" Type="http://schemas.openxmlformats.org/officeDocument/2006/relationships/hyperlink" Target="https://twitter.com/OrbitaEduardo/status/1071171501725024256?s=19" TargetMode="External"/><Relationship Id="rId770" Type="http://schemas.openxmlformats.org/officeDocument/2006/relationships/hyperlink" Target="https://www.facebook.com/Credit-Repair-in-North-Dakota-1842936412651530/" TargetMode="External"/><Relationship Id="rId1193" Type="http://schemas.openxmlformats.org/officeDocument/2006/relationships/hyperlink" Target="https://pbs.twimg.com/media/Dt0uymCX4AAsjDo.jpg" TargetMode="External"/><Relationship Id="rId2037" Type="http://schemas.openxmlformats.org/officeDocument/2006/relationships/hyperlink" Target="https://www.youtube.com/channel/UCY60GBj-H8SmayRG1UgDVWw" TargetMode="External"/><Relationship Id="rId2244" Type="http://schemas.openxmlformats.org/officeDocument/2006/relationships/hyperlink" Target="https://pbs.twimg.com/media/DtwD3bhX4AA_qWG.jpg" TargetMode="External"/><Relationship Id="rId2451" Type="http://schemas.openxmlformats.org/officeDocument/2006/relationships/hyperlink" Target="http://dlvr.it/Qt11d7" TargetMode="External"/><Relationship Id="rId2689" Type="http://schemas.openxmlformats.org/officeDocument/2006/relationships/hyperlink" Target="https://www.esdiario.com/452403351/Las-cifras-del-panico-asi-conduce-Pedro-Sanchez-al-precipicio-al-PSOE-.html" TargetMode="External"/><Relationship Id="rId2896" Type="http://schemas.openxmlformats.org/officeDocument/2006/relationships/hyperlink" Target="https://youtu.be/4PTXuB7WSGs" TargetMode="External"/><Relationship Id="rId216" Type="http://schemas.openxmlformats.org/officeDocument/2006/relationships/hyperlink" Target="https://pbs.twimg.com/media/Dt4-Gj0W4AEDOyi.jpg" TargetMode="External"/><Relationship Id="rId423" Type="http://schemas.openxmlformats.org/officeDocument/2006/relationships/hyperlink" Target="https://www.europapress.es/nacional/noticia-pedro-sanchez-ve-necesario-testimonio-victimas-terrorismo-nadie-nunca-cambie-historia-20181207184644.html" TargetMode="External"/><Relationship Id="rId868" Type="http://schemas.openxmlformats.org/officeDocument/2006/relationships/hyperlink" Target="http://www.gabrielalbendea.com/" TargetMode="External"/><Relationship Id="rId1053" Type="http://schemas.openxmlformats.org/officeDocument/2006/relationships/hyperlink" Target="https://www.cope.es/n/306196" TargetMode="External"/><Relationship Id="rId1260" Type="http://schemas.openxmlformats.org/officeDocument/2006/relationships/hyperlink" Target="https://ift.tt/2E9c8L0" TargetMode="External"/><Relationship Id="rId1498" Type="http://schemas.openxmlformats.org/officeDocument/2006/relationships/hyperlink" Target="https://pbs.twimg.com/media/Dt0HVXDU8AE4oo3.jpg" TargetMode="External"/><Relationship Id="rId2104" Type="http://schemas.openxmlformats.org/officeDocument/2006/relationships/hyperlink" Target="https://pbs.twimg.com/media/DtyyfzGWwAAQ-G1.jpg" TargetMode="External"/><Relationship Id="rId2549" Type="http://schemas.openxmlformats.org/officeDocument/2006/relationships/hyperlink" Target="http://www.lextres.com/" TargetMode="External"/><Relationship Id="rId2756" Type="http://schemas.openxmlformats.org/officeDocument/2006/relationships/hyperlink" Target="https://www.esdiario.com/secciones/1/89/autor/autores.html" TargetMode="External"/><Relationship Id="rId2963" Type="http://schemas.openxmlformats.org/officeDocument/2006/relationships/hyperlink" Target="http://www.lextres.com/" TargetMode="External"/><Relationship Id="rId630" Type="http://schemas.openxmlformats.org/officeDocument/2006/relationships/hyperlink" Target="https://twitter.com/imnctabadguy/status/1071236389960908800" TargetMode="External"/><Relationship Id="rId728" Type="http://schemas.openxmlformats.org/officeDocument/2006/relationships/hyperlink" Target="https://mcrc.es/" TargetMode="External"/><Relationship Id="rId935" Type="http://schemas.openxmlformats.org/officeDocument/2006/relationships/hyperlink" Target="http://bit.ly/EP_Venezuela" TargetMode="External"/><Relationship Id="rId1358" Type="http://schemas.openxmlformats.org/officeDocument/2006/relationships/hyperlink" Target="http://bit.ly/EP_Venezuela" TargetMode="External"/><Relationship Id="rId1565" Type="http://schemas.openxmlformats.org/officeDocument/2006/relationships/hyperlink" Target="http://www.eldiario.es/aragon/" TargetMode="External"/><Relationship Id="rId1772" Type="http://schemas.openxmlformats.org/officeDocument/2006/relationships/hyperlink" Target="https://pbs.twimg.com/media/DtwD3bhX4AA_qWG.jpg" TargetMode="External"/><Relationship Id="rId2311" Type="http://schemas.openxmlformats.org/officeDocument/2006/relationships/hyperlink" Target="http://www.infoheaders.com/" TargetMode="External"/><Relationship Id="rId2409" Type="http://schemas.openxmlformats.org/officeDocument/2006/relationships/hyperlink" Target="https://www.eldiario.es/politica/Pedro-Sanchez-reforma-Constitucion-igualdad_0_843416144.html" TargetMode="External"/><Relationship Id="rId2616" Type="http://schemas.openxmlformats.org/officeDocument/2006/relationships/hyperlink" Target="https://www.libertaddigital.com/espana/2018-12-06/pedro-sanchez-desconoce-la-constitucion-pide-reformarla-para-incluir-la-igualdad-entre-hombres-y-mujeres-1276629507/" TargetMode="External"/><Relationship Id="rId64" Type="http://schemas.openxmlformats.org/officeDocument/2006/relationships/hyperlink" Target="https://twitter.com/govern/status/1071363224526880770" TargetMode="External"/><Relationship Id="rId1120" Type="http://schemas.openxmlformats.org/officeDocument/2006/relationships/hyperlink" Target="http://page.is/larevuelo53" TargetMode="External"/><Relationship Id="rId1218" Type="http://schemas.openxmlformats.org/officeDocument/2006/relationships/hyperlink" Target="http://catalunyalliure.cat/" TargetMode="External"/><Relationship Id="rId1425" Type="http://schemas.openxmlformats.org/officeDocument/2006/relationships/hyperlink" Target="http://instagram.com/maria_quilezv/" TargetMode="External"/><Relationship Id="rId2823" Type="http://schemas.openxmlformats.org/officeDocument/2006/relationships/hyperlink" Target="http://ow.ly/eo6t30mT21i" TargetMode="External"/><Relationship Id="rId1632" Type="http://schemas.openxmlformats.org/officeDocument/2006/relationships/hyperlink" Target="https://www.cope.es/n/306196" TargetMode="External"/><Relationship Id="rId1937" Type="http://schemas.openxmlformats.org/officeDocument/2006/relationships/hyperlink" Target="https://www.lavanguardia.com/politica/20181206/453401347493/pedro-sanchez-constitucion-reformar-igualdad-de-genero.html?utm_campaign=botones_sociales&amp;utm_source=twitter&amp;utm_medium=social" TargetMode="External"/><Relationship Id="rId3085" Type="http://schemas.openxmlformats.org/officeDocument/2006/relationships/hyperlink" Target="https://pbs.twimg.com/media/DtvkWoMUcAI2EFy.jpg" TargetMode="External"/><Relationship Id="rId3292" Type="http://schemas.openxmlformats.org/officeDocument/2006/relationships/hyperlink" Target="http://www.amgarciac.es/" TargetMode="External"/><Relationship Id="rId2199" Type="http://schemas.openxmlformats.org/officeDocument/2006/relationships/hyperlink" Target="https://www.abc.es/internacional/abci-lider-damas-blanco-detenida-veces-mientras-pedro-sanchez-estaba-cuba-201811281827_noticia.html" TargetMode="External"/><Relationship Id="rId3152" Type="http://schemas.openxmlformats.org/officeDocument/2006/relationships/hyperlink" Target="https://pbs.twimg.com/media/DtvdiS8WsAERDBz.jpg" TargetMode="External"/><Relationship Id="rId280" Type="http://schemas.openxmlformats.org/officeDocument/2006/relationships/hyperlink" Target="https://pbs.twimg.com/media/Dt5aFMsXgAEwMXH.jpg" TargetMode="External"/><Relationship Id="rId3012" Type="http://schemas.openxmlformats.org/officeDocument/2006/relationships/hyperlink" Target="http://www.diariodeavisos.com/" TargetMode="External"/><Relationship Id="rId140" Type="http://schemas.openxmlformats.org/officeDocument/2006/relationships/hyperlink" Target="https://twitter.com/AndresGReche/status/1071168621618085888" TargetMode="External"/><Relationship Id="rId378" Type="http://schemas.openxmlformats.org/officeDocument/2006/relationships/hyperlink" Target="https://is.gd/gOzxHY" TargetMode="External"/><Relationship Id="rId585" Type="http://schemas.openxmlformats.org/officeDocument/2006/relationships/hyperlink" Target="https://okdiario.com/espana/cataluna/2018/12/08/sanchez-ofrece-separatistas-reconocer-cataluna-como-nacion-cambio-del-si-presupuestos-3439890" TargetMode="External"/><Relationship Id="rId792" Type="http://schemas.openxmlformats.org/officeDocument/2006/relationships/hyperlink" Target="http://va.newsrepublic.net/s/vFebMY" TargetMode="External"/><Relationship Id="rId2059" Type="http://schemas.openxmlformats.org/officeDocument/2006/relationships/hyperlink" Target="https://twitter.com/abenitez_lopez/status/1070668873698037760" TargetMode="External"/><Relationship Id="rId2266" Type="http://schemas.openxmlformats.org/officeDocument/2006/relationships/hyperlink" Target="http://infomalaga.com/" TargetMode="External"/><Relationship Id="rId2473" Type="http://schemas.openxmlformats.org/officeDocument/2006/relationships/hyperlink" Target="https://www.libertaddigital.com/espana/2018-12-06/pedro-sanchez-desconoce-la-constitucion-pide-reformarla-para-incluir-la-igualdad-entre-hombres-y-mujeres-1276629507/" TargetMode="External"/><Relationship Id="rId2680" Type="http://schemas.openxmlformats.org/officeDocument/2006/relationships/hyperlink" Target="https://elpais.com/politica/2018/12/04/actualidad/1543916726_658727.html?id_externo_rsoc=TW_CC" TargetMode="External"/><Relationship Id="rId3317" Type="http://schemas.openxmlformats.org/officeDocument/2006/relationships/hyperlink" Target="https://www.abc.es/espana/abci-pedro-sanchez-llega-entre-abucheos-congreso-40-aniversario-constitucion-201812061227_noticia.html" TargetMode="External"/><Relationship Id="rId6" Type="http://schemas.openxmlformats.org/officeDocument/2006/relationships/hyperlink" Target="https://pbs.twimg.com/media/Dt6LF5MW4AApFQ_.jpg" TargetMode="External"/><Relationship Id="rId238" Type="http://schemas.openxmlformats.org/officeDocument/2006/relationships/hyperlink" Target="http://dondiario.com/" TargetMode="External"/><Relationship Id="rId445" Type="http://schemas.openxmlformats.org/officeDocument/2006/relationships/hyperlink" Target="https://www.infolibre.es/noticias/politica/2018/12/07/pachi_vazquez_pide_baja_como_militante_del_psoe_por_no_compartir_casi_nada_que_esta_haciendo_direccion_federal_89638_1012.html" TargetMode="External"/><Relationship Id="rId652" Type="http://schemas.openxmlformats.org/officeDocument/2006/relationships/hyperlink" Target="https://twitter.com/Schuma78/status/1070999672238587905" TargetMode="External"/><Relationship Id="rId1075" Type="http://schemas.openxmlformats.org/officeDocument/2006/relationships/hyperlink" Target="http://sergioredondo.com/" TargetMode="External"/><Relationship Id="rId1282" Type="http://schemas.openxmlformats.org/officeDocument/2006/relationships/hyperlink" Target="http://atres.red/h11r3" TargetMode="External"/><Relationship Id="rId2126" Type="http://schemas.openxmlformats.org/officeDocument/2006/relationships/hyperlink" Target="https://pbs.twimg.com/media/DtwLdjvWwAEVsJB.jpg" TargetMode="External"/><Relationship Id="rId2333" Type="http://schemas.openxmlformats.org/officeDocument/2006/relationships/hyperlink" Target="https://www.esdiario.com/238196932/El-verdadero-CIS-de-Pedro-Sanchez-otro-espectacular-abucheo-en-el-Congreso.html" TargetMode="External"/><Relationship Id="rId2540" Type="http://schemas.openxmlformats.org/officeDocument/2006/relationships/hyperlink" Target="http://www.instagram.com/cendreivan" TargetMode="External"/><Relationship Id="rId2778" Type="http://schemas.openxmlformats.org/officeDocument/2006/relationships/hyperlink" Target="https://www.eldiario.es/politica/Pedro-Sanchez-reforma-Constitucion-igualdad_0_843416144.html" TargetMode="External"/><Relationship Id="rId2985" Type="http://schemas.openxmlformats.org/officeDocument/2006/relationships/hyperlink" Target="https://www.elconfidencial.com/espana/2018-12-06/pedro-sanchez-adelanto-electoral-marzo-seguiremos-trabajando-gobernando_1690978/?utm_source=twitter&amp;utm_medium=social&amp;utm_campaign=NacionalDiarioAutomatico" TargetMode="External"/><Relationship Id="rId305" Type="http://schemas.openxmlformats.org/officeDocument/2006/relationships/hyperlink" Target="http://tinyurl.com/ydeeeevn" TargetMode="External"/><Relationship Id="rId512" Type="http://schemas.openxmlformats.org/officeDocument/2006/relationships/hyperlink" Target="http://catalananalyst.blogspot.com.es/" TargetMode="External"/><Relationship Id="rId957" Type="http://schemas.openxmlformats.org/officeDocument/2006/relationships/hyperlink" Target="http://www.radiohuancavilca.com.ec/" TargetMode="External"/><Relationship Id="rId1142" Type="http://schemas.openxmlformats.org/officeDocument/2006/relationships/hyperlink" Target="http://eju.tv/2018/12/el-presidente-espanol-pedro-sanchez-asistira-a-la-final-de-la-copa-libertadores-en-el-santiago-bernabeu/" TargetMode="External"/><Relationship Id="rId1587" Type="http://schemas.openxmlformats.org/officeDocument/2006/relationships/hyperlink" Target="https://www.cope.es/n/306196" TargetMode="External"/><Relationship Id="rId1794" Type="http://schemas.openxmlformats.org/officeDocument/2006/relationships/hyperlink" Target="http://www.linkedin.com/in/frubira" TargetMode="External"/><Relationship Id="rId2400" Type="http://schemas.openxmlformats.org/officeDocument/2006/relationships/hyperlink" Target="http://bit.ly/EP_EEUU" TargetMode="External"/><Relationship Id="rId2638" Type="http://schemas.openxmlformats.org/officeDocument/2006/relationships/hyperlink" Target="http://ver.20m.es/a7toz3" TargetMode="External"/><Relationship Id="rId2845" Type="http://schemas.openxmlformats.org/officeDocument/2006/relationships/hyperlink" Target="https://pbs.twimg.com/media/DtwFyK0X4AIek6D.jpg" TargetMode="External"/><Relationship Id="rId86" Type="http://schemas.openxmlformats.org/officeDocument/2006/relationships/hyperlink" Target="https://www.elconfidencial.com/espana/2018-12-08/pedro-sanchez-lisboa-congreso-pes-antonio-costa-hacer-mucho-mas-ultraderecha_1693226/?utm_source=twitter&amp;utm_medium=social&amp;utm_campaign=NacionalDiarioAutomatico" TargetMode="External"/><Relationship Id="rId817" Type="http://schemas.openxmlformats.org/officeDocument/2006/relationships/hyperlink" Target="https://www.20minutos.es/noticia/3511142/0/pedro-sanchez-asistira-final-libertadores-bernabeu?utm_source=twitter.com&amp;utm_medium=socialshare&amp;utm_campaign=mobile_app" TargetMode="External"/><Relationship Id="rId1002" Type="http://schemas.openxmlformats.org/officeDocument/2006/relationships/hyperlink" Target="https://noticierouniversal.com/actualidad/pedro-sanchez-ve-necesario-el-testimonio-de-las-victimas-del-terrorismo-para-que-nadie-nunca-cambie-la-historia/" TargetMode="External"/><Relationship Id="rId1447" Type="http://schemas.openxmlformats.org/officeDocument/2006/relationships/hyperlink" Target="https://pbs.twimg.com/media/Dt0Mdq8X4AA2g9e.jpg" TargetMode="External"/><Relationship Id="rId1654" Type="http://schemas.openxmlformats.org/officeDocument/2006/relationships/hyperlink" Target="https://lapaseata.net/2018/12/07/pedro-sanchez-pitoniso/" TargetMode="External"/><Relationship Id="rId1861" Type="http://schemas.openxmlformats.org/officeDocument/2006/relationships/hyperlink" Target="http://www.eldiestro.es/" TargetMode="External"/><Relationship Id="rId2705" Type="http://schemas.openxmlformats.org/officeDocument/2006/relationships/hyperlink" Target="http://bit.ly/2Sy5a5U" TargetMode="External"/><Relationship Id="rId2912" Type="http://schemas.openxmlformats.org/officeDocument/2006/relationships/hyperlink" Target="http://www.canalsur.es/" TargetMode="External"/><Relationship Id="rId1307" Type="http://schemas.openxmlformats.org/officeDocument/2006/relationships/hyperlink" Target="https://noticierouniversal.com/actualidad/que-tiene-pedro-sanchez-contra-su-suegro-el-psoe-propone-multar-a-los-clientes-de-la-prostitucion/" TargetMode="External"/><Relationship Id="rId1514" Type="http://schemas.openxmlformats.org/officeDocument/2006/relationships/hyperlink" Target="http://www.eldiario.es/" TargetMode="External"/><Relationship Id="rId1721" Type="http://schemas.openxmlformats.org/officeDocument/2006/relationships/hyperlink" Target="http://marianoplanells.blogspot.com.es/" TargetMode="External"/><Relationship Id="rId1959" Type="http://schemas.openxmlformats.org/officeDocument/2006/relationships/hyperlink" Target="http://videos.elmundo.es/v/0_lwslz5du-abucheos-a-pedro-sanchez" TargetMode="External"/><Relationship Id="rId3174" Type="http://schemas.openxmlformats.org/officeDocument/2006/relationships/hyperlink" Target="http://www.tabarnia.es/" TargetMode="External"/><Relationship Id="rId13" Type="http://schemas.openxmlformats.org/officeDocument/2006/relationships/hyperlink" Target="https://youtu.be/Q9MfBbVwvpg" TargetMode="External"/><Relationship Id="rId1819" Type="http://schemas.openxmlformats.org/officeDocument/2006/relationships/hyperlink" Target="https://okdiario.com/espana/2018/12/07/pedro-sanchez-reformar-constitucion-incluir-igualdad-hombres-mujeres-articulo-14-desde-hace-40-anos-3437620" TargetMode="External"/><Relationship Id="rId3381" Type="http://schemas.openxmlformats.org/officeDocument/2006/relationships/hyperlink" Target="http://dlvr.it/Qsz4cD" TargetMode="External"/><Relationship Id="rId2190" Type="http://schemas.openxmlformats.org/officeDocument/2006/relationships/hyperlink" Target="http://www.sumarium.es/" TargetMode="External"/><Relationship Id="rId2288" Type="http://schemas.openxmlformats.org/officeDocument/2006/relationships/hyperlink" Target="http://ver.20m.es/_jw_w3" TargetMode="External"/><Relationship Id="rId2495" Type="http://schemas.openxmlformats.org/officeDocument/2006/relationships/hyperlink" Target="https://pbs.twimg.com/media/Dtws01pXQAAQr8W.jpg" TargetMode="External"/><Relationship Id="rId3034" Type="http://schemas.openxmlformats.org/officeDocument/2006/relationships/hyperlink" Target="http://dozz.es/gdlrj2" TargetMode="External"/><Relationship Id="rId3241" Type="http://schemas.openxmlformats.org/officeDocument/2006/relationships/hyperlink" Target="https://www.google.es/amp/s/www.libertaddigital.com/espana/politica/2018-12-06/abuheo-general-a-pedro-sanchez-convoca-elecciones-1276629479/amp.html" TargetMode="External"/><Relationship Id="rId3339" Type="http://schemas.openxmlformats.org/officeDocument/2006/relationships/hyperlink" Target="http://liverdades.com/" TargetMode="External"/><Relationship Id="rId162" Type="http://schemas.openxmlformats.org/officeDocument/2006/relationships/hyperlink" Target="http://20minutos.es/" TargetMode="External"/><Relationship Id="rId467" Type="http://schemas.openxmlformats.org/officeDocument/2006/relationships/hyperlink" Target="http://www.diariodeuntranseunte.es/" TargetMode="External"/><Relationship Id="rId1097" Type="http://schemas.openxmlformats.org/officeDocument/2006/relationships/hyperlink" Target="http://bit.ly/EP_Venezuela" TargetMode="External"/><Relationship Id="rId2050" Type="http://schemas.openxmlformats.org/officeDocument/2006/relationships/hyperlink" Target="https://&#241;apa.es/pedro-sanchez-confia-en-quedarse-con-el-centro-politico-de-cara-al-nuevo-ciclo-electoral/" TargetMode="External"/><Relationship Id="rId2148" Type="http://schemas.openxmlformats.org/officeDocument/2006/relationships/hyperlink" Target="https://curiouscat.me/Pokee" TargetMode="External"/><Relationship Id="rId3101" Type="http://schemas.openxmlformats.org/officeDocument/2006/relationships/hyperlink" Target="http://videos.elmundo.es/v/0_lwslz5du-abucheos-a-pedro-sanchez" TargetMode="External"/><Relationship Id="rId674" Type="http://schemas.openxmlformats.org/officeDocument/2006/relationships/hyperlink" Target="http://www.multiforo.eu/" TargetMode="External"/><Relationship Id="rId881" Type="http://schemas.openxmlformats.org/officeDocument/2006/relationships/hyperlink" Target="https://www.facebook.com/musicomaniaco/posts/10156826800202902" TargetMode="External"/><Relationship Id="rId979" Type="http://schemas.openxmlformats.org/officeDocument/2006/relationships/hyperlink" Target="https://www.elperiodico.com/es/politica/20181130/fiscalia-descarta-imputar-terrorismo-francotirador-pedro-sanchez-7176377" TargetMode="External"/><Relationship Id="rId2355" Type="http://schemas.openxmlformats.org/officeDocument/2006/relationships/hyperlink" Target="https://www.libertaddigital.com/espana/2018-12-06/pedro-sanchez-desconoce-la-constitucion-pide-reformarla-para-incluir-la-igualdad-entre-hombres-y-mujeres-1276629507/" TargetMode="External"/><Relationship Id="rId2562" Type="http://schemas.openxmlformats.org/officeDocument/2006/relationships/hyperlink" Target="https://www.libertaddigital.com/espana/2018-12-06/pedro-sanchez-desconoce-la-constitucion-pide-reformarla-para-incluir-la-igualdad-entre-hombres-y-mujeres-1276629507/" TargetMode="External"/><Relationship Id="rId3406" Type="http://schemas.openxmlformats.org/officeDocument/2006/relationships/hyperlink" Target="https://t.me/apuntesdepolitica" TargetMode="External"/><Relationship Id="rId327" Type="http://schemas.openxmlformats.org/officeDocument/2006/relationships/hyperlink" Target="http://www.josesimongracia.es/" TargetMode="External"/><Relationship Id="rId534" Type="http://schemas.openxmlformats.org/officeDocument/2006/relationships/hyperlink" Target="https://okdiario.com/espana/cataluna/2018/12/08/sanchez-ofrece-separatistas-reconocer-cataluna-como-nacion-cambio-del-si-presupuestos-3439890?utm_campaign=ok&amp;utm_medium=Social&amp;utm_source=Facebook" TargetMode="External"/><Relationship Id="rId741" Type="http://schemas.openxmlformats.org/officeDocument/2006/relationships/hyperlink" Target="http://elescorpionnegro.blogspot.com/" TargetMode="External"/><Relationship Id="rId839" Type="http://schemas.openxmlformats.org/officeDocument/2006/relationships/hyperlink" Target="http://t.me/ahoracantabria" TargetMode="External"/><Relationship Id="rId1164" Type="http://schemas.openxmlformats.org/officeDocument/2006/relationships/hyperlink" Target="https://elpais.com/politica/2018/12/07/actualidad/1544192692_171557.html?id_externo_rsoc=TW_CC" TargetMode="External"/><Relationship Id="rId1371" Type="http://schemas.openxmlformats.org/officeDocument/2006/relationships/hyperlink" Target="http://www.razon.com.mx/" TargetMode="External"/><Relationship Id="rId1469" Type="http://schemas.openxmlformats.org/officeDocument/2006/relationships/hyperlink" Target="http://www.diariodeuntranseunte.es/" TargetMode="External"/><Relationship Id="rId2008" Type="http://schemas.openxmlformats.org/officeDocument/2006/relationships/hyperlink" Target="https://www.esdiario.com/151059239/Pedro-Sanchez-tambien-hara-huelga-de-hambre-en-solidaridad-con-los-presos.html" TargetMode="External"/><Relationship Id="rId2215" Type="http://schemas.openxmlformats.org/officeDocument/2006/relationships/hyperlink" Target="https://www.esdiario.com/238196932/El-verdadero-CIS-de-Pedro-Sanchez-otro-espectacular-abucheo-en-el-Congreso.html" TargetMode="External"/><Relationship Id="rId2422" Type="http://schemas.openxmlformats.org/officeDocument/2006/relationships/hyperlink" Target="http://ow.ly/hGEI30mmISS" TargetMode="External"/><Relationship Id="rId2867" Type="http://schemas.openxmlformats.org/officeDocument/2006/relationships/hyperlink" Target="http://www.lasprovincias.es/" TargetMode="External"/><Relationship Id="rId601" Type="http://schemas.openxmlformats.org/officeDocument/2006/relationships/hyperlink" Target="http://youtu.be/h460ssWCo58?a" TargetMode="External"/><Relationship Id="rId1024" Type="http://schemas.openxmlformats.org/officeDocument/2006/relationships/hyperlink" Target="https://elpais.com/politica/2018/12/07/actualidad/1544192692_171557.html?id_externo_rsoc=TW_CC" TargetMode="External"/><Relationship Id="rId1231" Type="http://schemas.openxmlformats.org/officeDocument/2006/relationships/hyperlink" Target="http://epmundo.com/2018/el-bombazo-que-lanzo-pedro-sanchez-sobre-las-elecciones-generales/?utm_source=twitter&amp;utm_medium=social&amp;utm_campaign=ReviveOldPost" TargetMode="External"/><Relationship Id="rId1676" Type="http://schemas.openxmlformats.org/officeDocument/2006/relationships/hyperlink" Target="https://pbs.twimg.com/media/DtzvtSYXQAE-Clv.jpg" TargetMode="External"/><Relationship Id="rId1883" Type="http://schemas.openxmlformats.org/officeDocument/2006/relationships/hyperlink" Target="http://wp.me/p76pmQ-rw" TargetMode="External"/><Relationship Id="rId2727" Type="http://schemas.openxmlformats.org/officeDocument/2006/relationships/hyperlink" Target="https://pbs.twimg.com/media/DtwTj0fWsAAyNvf.jpg" TargetMode="External"/><Relationship Id="rId2934" Type="http://schemas.openxmlformats.org/officeDocument/2006/relationships/hyperlink" Target="https://www.abc.es/espana/abci-pedro-sanchez-llega-entre-abucheos-congreso-40-aniversario-constitucion-201812061227_noticia.html" TargetMode="External"/><Relationship Id="rId906" Type="http://schemas.openxmlformats.org/officeDocument/2006/relationships/hyperlink" Target="https://www.20minutos.es/noticia/3511142/0/pedro-sanchez-asistira-final-libertadores-bernabeu/?utm_source=twitter.com&amp;utm_medium=socialshare&amp;utm_campaign=desktop" TargetMode="External"/><Relationship Id="rId1329" Type="http://schemas.openxmlformats.org/officeDocument/2006/relationships/hyperlink" Target="https://realcofradiasantoentierro.blogspot.com.es/" TargetMode="External"/><Relationship Id="rId1536" Type="http://schemas.openxmlformats.org/officeDocument/2006/relationships/hyperlink" Target="https://www.mediterraneodigital.com/espana/espana/ridiculo-apoteosico-pedro-sanchez-pide-reformar-la-constitucion-para-incluir-un-articulo-que-ya-existe.html" TargetMode="External"/><Relationship Id="rId1743" Type="http://schemas.openxmlformats.org/officeDocument/2006/relationships/hyperlink" Target="https://www.libertaddigital.com/espana/2018-12-06/pedro-sanchez-desconoce-la-constitucion-pide-reformarla-para-incluir-la-igualdad-entre-hombres-y-mujeres-1276629507/" TargetMode="External"/><Relationship Id="rId1950" Type="http://schemas.openxmlformats.org/officeDocument/2006/relationships/hyperlink" Target="https://twitter.com/sterlingmrch/status/1070763420918706176" TargetMode="External"/><Relationship Id="rId3196" Type="http://schemas.openxmlformats.org/officeDocument/2006/relationships/hyperlink" Target="https://www.abc.es/espana/abci-pedro-sanchez-llega-entre-abucheos-congreso-40-aniversario-constitucion-201812061227_noticia.html" TargetMode="External"/><Relationship Id="rId35" Type="http://schemas.openxmlformats.org/officeDocument/2006/relationships/hyperlink" Target="http://www.diariojaen.es/" TargetMode="External"/><Relationship Id="rId1603" Type="http://schemas.openxmlformats.org/officeDocument/2006/relationships/hyperlink" Target="https://www.mediterraneodigital.com/espana/espana/ridiculo-apoteosico-pedro-sanchez-pide-reformar-la-constitucion-para-incluir-un-articulo-que-ya-existe.html" TargetMode="External"/><Relationship Id="rId1810" Type="http://schemas.openxmlformats.org/officeDocument/2006/relationships/hyperlink" Target="http://www.carmenprados.com/" TargetMode="External"/><Relationship Id="rId3056" Type="http://schemas.openxmlformats.org/officeDocument/2006/relationships/hyperlink" Target="https://elpais.com/politica/2018/12/04/actualidad/1543916726_658727.html" TargetMode="External"/><Relationship Id="rId3263" Type="http://schemas.openxmlformats.org/officeDocument/2006/relationships/hyperlink" Target="https://www.esdiario.com/452403351/Las-cifras-del-panico-asi-conduce-Pedro-Sanchez-al-precipicio-al-PSOE-.html" TargetMode="External"/><Relationship Id="rId184" Type="http://schemas.openxmlformats.org/officeDocument/2006/relationships/hyperlink" Target="http://pic.twitter.com/JEaIlKxSwe" TargetMode="External"/><Relationship Id="rId391" Type="http://schemas.openxmlformats.org/officeDocument/2006/relationships/hyperlink" Target="http://okdiario.com/economia/2018/12/08/italia-credibilidad-presupuestos-pedro-sanchez-denunciar-ue-trato-discriminatorio-3437675" TargetMode="External"/><Relationship Id="rId1908" Type="http://schemas.openxmlformats.org/officeDocument/2006/relationships/hyperlink" Target="https://pbs.twimg.com/media/DtzPT1CXQAAPh8J.jpg" TargetMode="External"/><Relationship Id="rId2072" Type="http://schemas.openxmlformats.org/officeDocument/2006/relationships/hyperlink" Target="http://bit.ly/EP_Venezuela" TargetMode="External"/><Relationship Id="rId3123" Type="http://schemas.openxmlformats.org/officeDocument/2006/relationships/hyperlink" Target="http://jcdiez.com/" TargetMode="External"/><Relationship Id="rId251" Type="http://schemas.openxmlformats.org/officeDocument/2006/relationships/hyperlink" Target="https://www.lavanguardia.com/politica/20181206/453401347493/pedro-sanchez-constitucion-reformar-igualdad-de-genero.html" TargetMode="External"/><Relationship Id="rId489" Type="http://schemas.openxmlformats.org/officeDocument/2006/relationships/hyperlink" Target="http://epmundo.com/2018/el-bombazo-que-lanzo-pedro-sanchez-sobre-las-elecciones-generales/" TargetMode="External"/><Relationship Id="rId696" Type="http://schemas.openxmlformats.org/officeDocument/2006/relationships/hyperlink" Target="http://pic.twitter.com/qpFXEx4Jfr" TargetMode="External"/><Relationship Id="rId2377" Type="http://schemas.openxmlformats.org/officeDocument/2006/relationships/hyperlink" Target="https://pbs.twimg.com/media/Dtw6affU4AA4n5V.jpg" TargetMode="External"/><Relationship Id="rId2584" Type="http://schemas.openxmlformats.org/officeDocument/2006/relationships/hyperlink" Target="http://elconfidencial.com/" TargetMode="External"/><Relationship Id="rId2791" Type="http://schemas.openxmlformats.org/officeDocument/2006/relationships/hyperlink" Target="https://pbs.twimg.com/media/DtwLX57WoAACaIE.jpg" TargetMode="External"/><Relationship Id="rId3330" Type="http://schemas.openxmlformats.org/officeDocument/2006/relationships/hyperlink" Target="https://www.ondacero.es/noticias/espana/video-abucheos-gritos-fuera-fuera-pedro-sanchez-congreso-constitucion_201812065c090ba90cf21af4301c6803.html" TargetMode="External"/><Relationship Id="rId3428" Type="http://schemas.openxmlformats.org/officeDocument/2006/relationships/hyperlink" Target="https://www.elperiodico.com/es/politica/20181206/abucheos-silbidos-pedro-sanchez-7187569?utm_source=twitter&amp;utm_medium=social" TargetMode="External"/><Relationship Id="rId349" Type="http://schemas.openxmlformats.org/officeDocument/2006/relationships/hyperlink" Target="https://www.esdiario.com/142088253/Carlos-Herrera-emite-una-grabacion-de-Pedro-Sanchez-que-le-fulmina-en--segundos.html" TargetMode="External"/><Relationship Id="rId556" Type="http://schemas.openxmlformats.org/officeDocument/2006/relationships/hyperlink" Target="http://j.mp/2rpCMY8" TargetMode="External"/><Relationship Id="rId763" Type="http://schemas.openxmlformats.org/officeDocument/2006/relationships/hyperlink" Target="http://page.is/larevuelo53" TargetMode="External"/><Relationship Id="rId1186" Type="http://schemas.openxmlformats.org/officeDocument/2006/relationships/hyperlink" Target="https://www.europapress.es/nacional/noticia-rufian-preguntara-pedro-sanchez-congreso-si-hara-algo-frente-ultraderecha-20181207150646.html" TargetMode="External"/><Relationship Id="rId1393" Type="http://schemas.openxmlformats.org/officeDocument/2006/relationships/hyperlink" Target="http://www.hispanidad.com/" TargetMode="External"/><Relationship Id="rId2237" Type="http://schemas.openxmlformats.org/officeDocument/2006/relationships/hyperlink" Target="https://elpais.com/politica/2018/12/06/actualidad/1544108922_690929.html?id_externo_rsoc=TW_CC" TargetMode="External"/><Relationship Id="rId2444" Type="http://schemas.openxmlformats.org/officeDocument/2006/relationships/hyperlink" Target="https://twitter.com/arturelpayaso2/status/1070703901127651329" TargetMode="External"/><Relationship Id="rId2889" Type="http://schemas.openxmlformats.org/officeDocument/2006/relationships/hyperlink" Target="https://www.europapress.es/nacional/noticia-pedro-sanchez-ve-mas-probable-consorcio-derechas-andalucia-repeticion-elecciones-20181206153806.html" TargetMode="External"/><Relationship Id="rId111" Type="http://schemas.openxmlformats.org/officeDocument/2006/relationships/hyperlink" Target="https://twitter.com/rosadiezglez/status/1071335367855476738" TargetMode="External"/><Relationship Id="rId209" Type="http://schemas.openxmlformats.org/officeDocument/2006/relationships/hyperlink" Target="http://pic.twitter.com/zq4IxlQ7iQ" TargetMode="External"/><Relationship Id="rId416" Type="http://schemas.openxmlformats.org/officeDocument/2006/relationships/hyperlink" Target="http://www.eleconomista.es/" TargetMode="External"/><Relationship Id="rId970" Type="http://schemas.openxmlformats.org/officeDocument/2006/relationships/hyperlink" Target="http://www.europapress.es/" TargetMode="External"/><Relationship Id="rId1046" Type="http://schemas.openxmlformats.org/officeDocument/2006/relationships/hyperlink" Target="https://okdiario.com/espana/2018/12/07/vocales-cnmv-mas-cercanos-gobierno-sanchez-pidieron-sancionar-borrell-caso-abengoa-3412904?utm_campaign=inda&amp;utm_medium=Social&amp;utm_source=Twitter" TargetMode="External"/><Relationship Id="rId1253" Type="http://schemas.openxmlformats.org/officeDocument/2006/relationships/hyperlink" Target="http://www.lasexta.com/noticias/economia/pedro-sanchez-estuvo-reunion-que-cerro-reforma-articulo-135-constitucion_201411255725a1424beb28d446019834.html" TargetMode="External"/><Relationship Id="rId1698" Type="http://schemas.openxmlformats.org/officeDocument/2006/relationships/hyperlink" Target="https://okdiario.com/espana/2018/12/07/pedro-sanchez-reformar-constitucion-incluir-igualdad-hombres-mujeres-articulo-14-desde-hace-40-anos-3437620" TargetMode="External"/><Relationship Id="rId2651" Type="http://schemas.openxmlformats.org/officeDocument/2006/relationships/hyperlink" Target="http://pic.twitter.com/u7Ha1RnDAR" TargetMode="External"/><Relationship Id="rId2749" Type="http://schemas.openxmlformats.org/officeDocument/2006/relationships/hyperlink" Target="https://blogs.elconfidencial.com/espana/desde-fuera/2018-12-06/elecciones-andalucia-pedro-sanchez-susana-diaz-culpable-hundimiento-titanic-socialista_1688542/?utm_source=twitter&amp;utm_medium=social&amp;utm_campaign=BotoneraWeb" TargetMode="External"/><Relationship Id="rId2956" Type="http://schemas.openxmlformats.org/officeDocument/2006/relationships/hyperlink" Target="http://epmundo.com/" TargetMode="External"/><Relationship Id="rId623" Type="http://schemas.openxmlformats.org/officeDocument/2006/relationships/hyperlink" Target="https://pbs.twimg.com/media/Dt3OfEdVsAATpBe.jpg" TargetMode="External"/><Relationship Id="rId830" Type="http://schemas.openxmlformats.org/officeDocument/2006/relationships/hyperlink" Target="https://pbs.twimg.com/media/Dt10Y-oX4AAoyKK.jpg" TargetMode="External"/><Relationship Id="rId928" Type="http://schemas.openxmlformats.org/officeDocument/2006/relationships/hyperlink" Target="https://elpais.com/politica/2018/12/07/actualidad/1544192692_171557.html?id_externo_rsoc=TW_CC" TargetMode="External"/><Relationship Id="rId1460" Type="http://schemas.openxmlformats.org/officeDocument/2006/relationships/hyperlink" Target="http://pic.twitter.com/ULu8hyZw4f" TargetMode="External"/><Relationship Id="rId1558" Type="http://schemas.openxmlformats.org/officeDocument/2006/relationships/hyperlink" Target="https://twitter.com/sanchezcastejon/status/1070736196228317184" TargetMode="External"/><Relationship Id="rId1765" Type="http://schemas.openxmlformats.org/officeDocument/2006/relationships/hyperlink" Target="http://www.multiforo.eu/" TargetMode="External"/><Relationship Id="rId2304" Type="http://schemas.openxmlformats.org/officeDocument/2006/relationships/hyperlink" Target="https://www.esdiario.com/238196932/El-verdadero-CIS-de-Pedro-Sanchez-otro-espectacular-abucheo-en-el-Congreso.html" TargetMode="External"/><Relationship Id="rId2511" Type="http://schemas.openxmlformats.org/officeDocument/2006/relationships/hyperlink" Target="http://www.diariodealmeria.es/" TargetMode="External"/><Relationship Id="rId2609" Type="http://schemas.openxmlformats.org/officeDocument/2006/relationships/hyperlink" Target="http://dlvr.it/Qt0jgl" TargetMode="External"/><Relationship Id="rId57" Type="http://schemas.openxmlformats.org/officeDocument/2006/relationships/hyperlink" Target="https://bit.ly/2BXuH30" TargetMode="External"/><Relationship Id="rId1113" Type="http://schemas.openxmlformats.org/officeDocument/2006/relationships/hyperlink" Target="https://youtu.be/Kf0rLbMfnak" TargetMode="External"/><Relationship Id="rId1320" Type="http://schemas.openxmlformats.org/officeDocument/2006/relationships/hyperlink" Target="http://www.radiohuancavilca.com.ec/" TargetMode="External"/><Relationship Id="rId1418" Type="http://schemas.openxmlformats.org/officeDocument/2006/relationships/hyperlink" Target="https://www.lavanguardia.com/economia/20181207/453403582708/deficit-gobierno-presupuestos-pedro-sanchez-consejo-de-ministros.html?utm_source=twitter_lv&amp;utm_medium=social" TargetMode="External"/><Relationship Id="rId1972" Type="http://schemas.openxmlformats.org/officeDocument/2006/relationships/hyperlink" Target="https://ift.tt/2rqjp17" TargetMode="External"/><Relationship Id="rId2816" Type="http://schemas.openxmlformats.org/officeDocument/2006/relationships/hyperlink" Target="https://www.elmundo.es/espana/2018/12/06/5c0830e421efa089208b48c9.html" TargetMode="External"/><Relationship Id="rId1625" Type="http://schemas.openxmlformats.org/officeDocument/2006/relationships/hyperlink" Target="http://www.citizengo.org/hazteoir/pc/166961-pedro-sanchez-vende-guardia-civil?tc=tw&amp;tcid=52566212" TargetMode="External"/><Relationship Id="rId1832" Type="http://schemas.openxmlformats.org/officeDocument/2006/relationships/hyperlink" Target="https://bit.ly/2QiXfwD" TargetMode="External"/><Relationship Id="rId3078" Type="http://schemas.openxmlformats.org/officeDocument/2006/relationships/hyperlink" Target="http://pic.twitter.com/DDue9NEGsg" TargetMode="External"/><Relationship Id="rId3285" Type="http://schemas.openxmlformats.org/officeDocument/2006/relationships/hyperlink" Target="https://pbs.twimg.com/media/DtvMhdyVAAAkSuP.jpg" TargetMode="External"/><Relationship Id="rId2094" Type="http://schemas.openxmlformats.org/officeDocument/2006/relationships/hyperlink" Target="https://ift.tt/2EgVqdn" TargetMode="External"/><Relationship Id="rId3145" Type="http://schemas.openxmlformats.org/officeDocument/2006/relationships/hyperlink" Target="http://www.ideal.es/" TargetMode="External"/><Relationship Id="rId3352" Type="http://schemas.openxmlformats.org/officeDocument/2006/relationships/hyperlink" Target="https://www.elconfidencialdigital.com/articulo/politica/pedro-sanchez-ha-anunciado-presentara-presupuestos-enero/20181205172146118999.html" TargetMode="External"/><Relationship Id="rId273" Type="http://schemas.openxmlformats.org/officeDocument/2006/relationships/hyperlink" Target="http://rcdlc.com/" TargetMode="External"/><Relationship Id="rId480" Type="http://schemas.openxmlformats.org/officeDocument/2006/relationships/hyperlink" Target="https://okdiario.com/espana/cataluna/2018/12/08/sanchez-ofrece-separatistas-reconocer-cataluna-como-nacion-cambio-del-si-presupuestos-3439890/amp" TargetMode="External"/><Relationship Id="rId2161" Type="http://schemas.openxmlformats.org/officeDocument/2006/relationships/hyperlink" Target="http://ver.abc.es/twnsz4" TargetMode="External"/><Relationship Id="rId2399" Type="http://schemas.openxmlformats.org/officeDocument/2006/relationships/hyperlink" Target="https://pbs.twimg.com/media/Dtw4D4qXQAAh8ns.jpg" TargetMode="External"/><Relationship Id="rId3005" Type="http://schemas.openxmlformats.org/officeDocument/2006/relationships/hyperlink" Target="https://buff.ly/2UiCobe" TargetMode="External"/><Relationship Id="rId3212" Type="http://schemas.openxmlformats.org/officeDocument/2006/relationships/hyperlink" Target="https://www.elconfidencial.com/espana/2018-12-06/pedro-sanchez-constitucion-pitos-abucheos-afinsa-forum-filatelico_1690530/?utm_source=twitter&amp;utm_medium=social&amp;utm_campaign=ECDiarioManual" TargetMode="External"/><Relationship Id="rId133" Type="http://schemas.openxmlformats.org/officeDocument/2006/relationships/hyperlink" Target="https://pbs.twimg.com/media/Dt5xoTKW0AYVhvy.jpg" TargetMode="External"/><Relationship Id="rId340" Type="http://schemas.openxmlformats.org/officeDocument/2006/relationships/hyperlink" Target="https://www.infobae.com/america/deportes/2018/12/07/el-presidente-espanol-pedro-sanchez-asistira-a-la-final-de-la-copa-libertadores-en-el-santiago-bernabeu/" TargetMode="External"/><Relationship Id="rId578" Type="http://schemas.openxmlformats.org/officeDocument/2006/relationships/hyperlink" Target="http://www.alertadigital.com/2018/12/07/que-tiene-pedro-sanchez-contra-su-suegro-el-psoe-propone-multar-a-los-clientes-de-la-prostitucion/" TargetMode="External"/><Relationship Id="rId785" Type="http://schemas.openxmlformats.org/officeDocument/2006/relationships/hyperlink" Target="https://youtu.be/Jyfz2SZyseY" TargetMode="External"/><Relationship Id="rId992" Type="http://schemas.openxmlformats.org/officeDocument/2006/relationships/hyperlink" Target="http://www.youtube.com/channel/UCGA1_eec552ZWn41Fzl5x5A/videos" TargetMode="External"/><Relationship Id="rId2021" Type="http://schemas.openxmlformats.org/officeDocument/2006/relationships/hyperlink" Target="https://pbs.twimg.com/media/Dty-LMtUUAAfLOK.jpg" TargetMode="External"/><Relationship Id="rId2259" Type="http://schemas.openxmlformats.org/officeDocument/2006/relationships/hyperlink" Target="http://www.beatrizbecerra.eu/" TargetMode="External"/><Relationship Id="rId2466" Type="http://schemas.openxmlformats.org/officeDocument/2006/relationships/hyperlink" Target="https://www.libertaddigital.com/espana/2018-12-06/pedro-sanchez-desconoce-la-constitucion-pide-reformarla-para-incluir-la-igualdad-entre-hombres-y-mujeres-1276629507/" TargetMode="External"/><Relationship Id="rId2673" Type="http://schemas.openxmlformats.org/officeDocument/2006/relationships/hyperlink" Target="http://chng.it/mZSy9Y4b" TargetMode="External"/><Relationship Id="rId2880" Type="http://schemas.openxmlformats.org/officeDocument/2006/relationships/hyperlink" Target="https://goo.gl/WcCPmx" TargetMode="External"/><Relationship Id="rId200" Type="http://schemas.openxmlformats.org/officeDocument/2006/relationships/hyperlink" Target="http://diccionariomotril.blogspot.com.es/" TargetMode="External"/><Relationship Id="rId438" Type="http://schemas.openxmlformats.org/officeDocument/2006/relationships/hyperlink" Target="https://okdiario.com/economia/2018/12/08/italia-credibilidad-presupuestos-pedro-sanchez-denunciar-ue-trato-discriminatorio-3437675" TargetMode="External"/><Relationship Id="rId645" Type="http://schemas.openxmlformats.org/officeDocument/2006/relationships/hyperlink" Target="https://pbs.twimg.com/media/Dt3HBRxW0AAkrss.jpg" TargetMode="External"/><Relationship Id="rId852" Type="http://schemas.openxmlformats.org/officeDocument/2006/relationships/hyperlink" Target="http://esperanzagalindo.com/quien-soy/" TargetMode="External"/><Relationship Id="rId1068" Type="http://schemas.openxmlformats.org/officeDocument/2006/relationships/hyperlink" Target="http://jaserrano.me/" TargetMode="External"/><Relationship Id="rId1275" Type="http://schemas.openxmlformats.org/officeDocument/2006/relationships/hyperlink" Target="https://okdiario.com/espana/2018/12/07/han-pasado-85-dias-demanda-pedro-sanchez-sigue-sin-llegar-3437752" TargetMode="External"/><Relationship Id="rId1482" Type="http://schemas.openxmlformats.org/officeDocument/2006/relationships/hyperlink" Target="https://www.mediterraneodigital.com/espana/espana/ridiculo-apoteosico-pedro-sanchez-pide-reformar-la-constitucion-para-incluir-un-articulo-que-ya-existe.html" TargetMode="External"/><Relationship Id="rId2119" Type="http://schemas.openxmlformats.org/officeDocument/2006/relationships/hyperlink" Target="https://m.eldiario.es/politica/Pedro-Sanchez-Congreso-Dia-Constitucion_0_843415844.html" TargetMode="External"/><Relationship Id="rId2326" Type="http://schemas.openxmlformats.org/officeDocument/2006/relationships/hyperlink" Target="https://www.instagram.com/p/BrD_CawgJrL/?utm_source=ig_twitter_share&amp;igshid=1ak950a8m8jpu" TargetMode="External"/><Relationship Id="rId2533" Type="http://schemas.openxmlformats.org/officeDocument/2006/relationships/hyperlink" Target="http://epmundo.com/" TargetMode="External"/><Relationship Id="rId2740" Type="http://schemas.openxmlformats.org/officeDocument/2006/relationships/hyperlink" Target="https://m.eldiario.es/politica/Pedro-Sanchez-reforma-Constitucion-igualdad_0_843416144.html" TargetMode="External"/><Relationship Id="rId2978" Type="http://schemas.openxmlformats.org/officeDocument/2006/relationships/hyperlink" Target="https://pbs.twimg.com/media/DtvxK3qWoAEVWOK.jpg" TargetMode="External"/><Relationship Id="rId505" Type="http://schemas.openxmlformats.org/officeDocument/2006/relationships/hyperlink" Target="https://pbs.twimg.com/media/DtwD3bhX4AA_qWG.jpg" TargetMode="External"/><Relationship Id="rId712" Type="http://schemas.openxmlformats.org/officeDocument/2006/relationships/hyperlink" Target="https://m.facebook.com/groups/247531306734?ref=bookmarks" TargetMode="External"/><Relationship Id="rId1135" Type="http://schemas.openxmlformats.org/officeDocument/2006/relationships/hyperlink" Target="https://pbs.twimg.com/media/Dt02qO9WoAEYS0E.jpg" TargetMode="External"/><Relationship Id="rId1342" Type="http://schemas.openxmlformats.org/officeDocument/2006/relationships/hyperlink" Target="http://pic.twitter.com/1VUB9J2ugj" TargetMode="External"/><Relationship Id="rId1787" Type="http://schemas.openxmlformats.org/officeDocument/2006/relationships/hyperlink" Target="http://www.mediterraneodigital.com/" TargetMode="External"/><Relationship Id="rId1994" Type="http://schemas.openxmlformats.org/officeDocument/2006/relationships/hyperlink" Target="https://www.esdiario.com/238196932/El-verdadero-CIS-de-Pedro-Sanchez-otro-espectacular-abucheo-en-el-Congreso.html" TargetMode="External"/><Relationship Id="rId2838" Type="http://schemas.openxmlformats.org/officeDocument/2006/relationships/hyperlink" Target="https://twitter.com/sanchezcastejon/status/1070074025131630592" TargetMode="External"/><Relationship Id="rId79" Type="http://schemas.openxmlformats.org/officeDocument/2006/relationships/hyperlink" Target="https://www.abc.es/espana/abci-pedro-sanchez-alerta-auge-extrema-derecha-europa-201812081647_noticia.html" TargetMode="External"/><Relationship Id="rId1202" Type="http://schemas.openxmlformats.org/officeDocument/2006/relationships/hyperlink" Target="http://www.galiciapress.es/" TargetMode="External"/><Relationship Id="rId1647" Type="http://schemas.openxmlformats.org/officeDocument/2006/relationships/hyperlink" Target="https://www.mediterraneodigital.com/espana/espana/ridiculo-apoteosico-pedro-sanchez-pide-reformar-la-constitucion-para-incluir-un-articulo-que-ya-existe.html" TargetMode="External"/><Relationship Id="rId1854" Type="http://schemas.openxmlformats.org/officeDocument/2006/relationships/hyperlink" Target="https://elpais.com/politica/2018/12/04/actualidad/1543916726_658727.html" TargetMode="External"/><Relationship Id="rId2600" Type="http://schemas.openxmlformats.org/officeDocument/2006/relationships/hyperlink" Target="https://www.libertaddigital.com/espana/2018-12-06/pedro-sanchez-desconoce-la-constitucion-pide-reformarla-para-incluir-la-igualdad-entre-hombres-y-mujeres-1276629507/" TargetMode="External"/><Relationship Id="rId2905" Type="http://schemas.openxmlformats.org/officeDocument/2006/relationships/hyperlink" Target="https://pbs.twimg.com/media/Dtv64GkXcAA74oa.jpg" TargetMode="External"/><Relationship Id="rId1507" Type="http://schemas.openxmlformats.org/officeDocument/2006/relationships/hyperlink" Target="http://chng.it/gmvZGWft" TargetMode="External"/><Relationship Id="rId1714" Type="http://schemas.openxmlformats.org/officeDocument/2006/relationships/hyperlink" Target="http://www.imdb.com/name/nm2038728/" TargetMode="External"/><Relationship Id="rId3167" Type="http://schemas.openxmlformats.org/officeDocument/2006/relationships/hyperlink" Target="http://dlvr.it/QszRzS" TargetMode="External"/><Relationship Id="rId295" Type="http://schemas.openxmlformats.org/officeDocument/2006/relationships/hyperlink" Target="http://www.ppmurcia.org/" TargetMode="External"/><Relationship Id="rId1921" Type="http://schemas.openxmlformats.org/officeDocument/2006/relationships/hyperlink" Target="https://m.eldiario.es/_32458250" TargetMode="External"/><Relationship Id="rId3374" Type="http://schemas.openxmlformats.org/officeDocument/2006/relationships/hyperlink" Target="https://pbs.twimg.com/media/DtupI0jW4AAnROH.jpg" TargetMode="External"/><Relationship Id="rId2183" Type="http://schemas.openxmlformats.org/officeDocument/2006/relationships/hyperlink" Target="https://pbs.twimg.com/media/Dtx4oNuW4AMm09m.jpg" TargetMode="External"/><Relationship Id="rId2390" Type="http://schemas.openxmlformats.org/officeDocument/2006/relationships/hyperlink" Target="https://www.libertaddigital.com/espana/2018-12-06/pedro-sanchez-desconoce-la-constitucion-pide-reformarla-para-incluir-la-igualdad-entre-hombres-y-mujeres-1276629507/" TargetMode="External"/><Relationship Id="rId2488" Type="http://schemas.openxmlformats.org/officeDocument/2006/relationships/hyperlink" Target="https://www.elconfidencial.com/espana/2018-12-06/pedro-sanchez-adelanto-electoral-marzo-seguiremos-trabajando-gobernando_1690978/?utm_source=twitter&amp;utm_medium=social&amp;utm_campaign=BotoneraWeb" TargetMode="External"/><Relationship Id="rId3027" Type="http://schemas.openxmlformats.org/officeDocument/2006/relationships/hyperlink" Target="https://www.abc.es/espana/abci-pedro-sanchez-llega-entre-abucheos-congreso-40-aniversario-constitucion-201812061227_noticia.html" TargetMode="External"/><Relationship Id="rId3234" Type="http://schemas.openxmlformats.org/officeDocument/2006/relationships/hyperlink" Target="https://www.20minutos.es/noticia/3510387/0/abucheos-pedro-sanchez-congreso-aniversario-constitucion/" TargetMode="External"/><Relationship Id="rId155" Type="http://schemas.openxmlformats.org/officeDocument/2006/relationships/hyperlink" Target="http://www.psoe.es/" TargetMode="External"/><Relationship Id="rId362" Type="http://schemas.openxmlformats.org/officeDocument/2006/relationships/hyperlink" Target="https://bit.ly/2E6rWOy" TargetMode="External"/><Relationship Id="rId1297" Type="http://schemas.openxmlformats.org/officeDocument/2006/relationships/hyperlink" Target="http://www.marca.com/baloncesto/nba.html" TargetMode="External"/><Relationship Id="rId2043" Type="http://schemas.openxmlformats.org/officeDocument/2006/relationships/hyperlink" Target="https://pbs.twimg.com/media/Dty76DEXgAA1wN-.jpg" TargetMode="External"/><Relationship Id="rId2250" Type="http://schemas.openxmlformats.org/officeDocument/2006/relationships/hyperlink" Target="https://pbs.twimg.com/media/DtxTxjvWsAEISUw.jpg" TargetMode="External"/><Relationship Id="rId2695" Type="http://schemas.openxmlformats.org/officeDocument/2006/relationships/hyperlink" Target="https://www.20minutos.es/opiniones/pedro-sanchez-constitucion-herramiento-progreso-3508547/?utm_source=twitter.com&amp;utm_medium=socialshare&amp;utm_campaign=desktop" TargetMode="External"/><Relationship Id="rId3301" Type="http://schemas.openxmlformats.org/officeDocument/2006/relationships/hyperlink" Target="https://www.elplural.com/autonomias/andalucia/el-alcalde-anfitrion-de-pedro-sanchez-entrego-la-famp-al-pp_99028102" TargetMode="External"/><Relationship Id="rId222" Type="http://schemas.openxmlformats.org/officeDocument/2006/relationships/hyperlink" Target="http://www.lextres.com/" TargetMode="External"/><Relationship Id="rId667" Type="http://schemas.openxmlformats.org/officeDocument/2006/relationships/hyperlink" Target="http://epmundo.com/2018/el-bombazo-que-lanzo-pedro-sanchez-sobre-las-elecciones-generales/?utm_source=twitter&amp;utm_medium=social&amp;utm_campaign=ReviveOldPost" TargetMode="External"/><Relationship Id="rId874" Type="http://schemas.openxmlformats.org/officeDocument/2006/relationships/hyperlink" Target="https://www.elmundo.es/cataluna/2018/12/07/5c0acd4efdddffcfa28b45bf.html" TargetMode="External"/><Relationship Id="rId2110" Type="http://schemas.openxmlformats.org/officeDocument/2006/relationships/hyperlink" Target="http://www.veoinfo.com/pedro-sanchez-confia-en-quedarse-con-el-centro-politico-de-cara-al-nuevo-ciclo-electoral/" TargetMode="External"/><Relationship Id="rId2348" Type="http://schemas.openxmlformats.org/officeDocument/2006/relationships/hyperlink" Target="https://casoaislado.com/sanchez-sigue-hundiendo-la-economia-paro-sube-52-195-personas/" TargetMode="External"/><Relationship Id="rId2555" Type="http://schemas.openxmlformats.org/officeDocument/2006/relationships/hyperlink" Target="https://www.facebook.com/100026335094807/posts/209545016600000/" TargetMode="External"/><Relationship Id="rId2762" Type="http://schemas.openxmlformats.org/officeDocument/2006/relationships/hyperlink" Target="http://j.mp/2RzEmlP" TargetMode="External"/><Relationship Id="rId527" Type="http://schemas.openxmlformats.org/officeDocument/2006/relationships/hyperlink" Target="https://www.abc.es/espana/abci-arranca-comision-investigara-tesis-pedro-sanchez-201812050400_noticia.html" TargetMode="External"/><Relationship Id="rId734" Type="http://schemas.openxmlformats.org/officeDocument/2006/relationships/hyperlink" Target="http://pic.twitter.com/Ik4oKNNkBZ" TargetMode="External"/><Relationship Id="rId941" Type="http://schemas.openxmlformats.org/officeDocument/2006/relationships/hyperlink" Target="https://bit.ly/2rs6wUy" TargetMode="External"/><Relationship Id="rId1157" Type="http://schemas.openxmlformats.org/officeDocument/2006/relationships/hyperlink" Target="http://epmundo.com/2018/el-bombazo-que-lanzo-pedro-sanchez-sobre-las-elecciones-generales/?utm_source=twitter&amp;utm_medium=social&amp;utm_campaign=ReviveOldPost" TargetMode="External"/><Relationship Id="rId1364" Type="http://schemas.openxmlformats.org/officeDocument/2006/relationships/hyperlink" Target="http://bit.ly/2QI7TMU" TargetMode="External"/><Relationship Id="rId1571" Type="http://schemas.openxmlformats.org/officeDocument/2006/relationships/hyperlink" Target="https://curiouscat.me/ProfesorQuantum" TargetMode="External"/><Relationship Id="rId2208" Type="http://schemas.openxmlformats.org/officeDocument/2006/relationships/hyperlink" Target="https://pbs.twimg.com/media/Dtxkw0iX4AA7uvY.jpg" TargetMode="External"/><Relationship Id="rId2415" Type="http://schemas.openxmlformats.org/officeDocument/2006/relationships/hyperlink" Target="http://instagram.com/albertoarribasm" TargetMode="External"/><Relationship Id="rId2622" Type="http://schemas.openxmlformats.org/officeDocument/2006/relationships/hyperlink" Target="https://www.youtube.com/attribution_link?a=PxykNcyrWKg&amp;u=%2Fwatch%3Fv%3DUotT0g08oVw%26feature%3Dshare" TargetMode="External"/><Relationship Id="rId70" Type="http://schemas.openxmlformats.org/officeDocument/2006/relationships/hyperlink" Target="http://www.diariodejuliobienvenido.blogspot.com/" TargetMode="External"/><Relationship Id="rId801" Type="http://schemas.openxmlformats.org/officeDocument/2006/relationships/hyperlink" Target="https://noticieros.televisa.com/ultimas-noticias/cuba-gobierno-espana-visita-pedro-sanchez/" TargetMode="External"/><Relationship Id="rId1017" Type="http://schemas.openxmlformats.org/officeDocument/2006/relationships/hyperlink" Target="https://pbs.twimg.com/media/Dt0n6ubW0AA579s.jpg" TargetMode="External"/><Relationship Id="rId1224" Type="http://schemas.openxmlformats.org/officeDocument/2006/relationships/hyperlink" Target="http://horajaen.com/" TargetMode="External"/><Relationship Id="rId1431" Type="http://schemas.openxmlformats.org/officeDocument/2006/relationships/hyperlink" Target="http://dlvr.it/Qt3fmr" TargetMode="External"/><Relationship Id="rId1669" Type="http://schemas.openxmlformats.org/officeDocument/2006/relationships/hyperlink" Target="http://about.me/sergioparra" TargetMode="External"/><Relationship Id="rId1876" Type="http://schemas.openxmlformats.org/officeDocument/2006/relationships/hyperlink" Target="http://catalananalyst.blogspot.com.es/" TargetMode="External"/><Relationship Id="rId2927" Type="http://schemas.openxmlformats.org/officeDocument/2006/relationships/hyperlink" Target="https://www.elmundo.es/espana/2018/12/06/5c0830e421efa089208b48c9.html" TargetMode="External"/><Relationship Id="rId3091" Type="http://schemas.openxmlformats.org/officeDocument/2006/relationships/hyperlink" Target="https://www.20minutos.es/noticia/3510387/0/abucheos-pedro-sanchez-congreso-aniversario-constitucion/?utm_source=twitter.com&amp;utm_medium=socialshare&amp;utm_campaign=mobile_amp" TargetMode="External"/><Relationship Id="rId1529" Type="http://schemas.openxmlformats.org/officeDocument/2006/relationships/hyperlink" Target="https://www.20minutos.es/noticia/3510387/0/abucheos-pedro-sanchez-congreso-aniversario-constitucion/?utm_source=twitter.com&amp;utm_medium=socialshare&amp;utm_campaign=mobile_web" TargetMode="External"/><Relationship Id="rId1736" Type="http://schemas.openxmlformats.org/officeDocument/2006/relationships/hyperlink" Target="https://www.periodistadigital.com/periodismo/tv/2018/12/05/la-confesion-de-pedro-sanchez-a-piqueras-sobre-el-rey-felipe-vi-que-destrona-al-psoe.shtml" TargetMode="External"/><Relationship Id="rId1943" Type="http://schemas.openxmlformats.org/officeDocument/2006/relationships/hyperlink" Target="https://www.lavanguardia.com/politica/20181206/453401347493/pedro-sanchez-constitucion-reformar-igualdad-de-genero.html?utm_campaign=botones_sociales_app&amp;utm_source=facebook&amp;utm_medium=social" TargetMode="External"/><Relationship Id="rId3189" Type="http://schemas.openxmlformats.org/officeDocument/2006/relationships/hyperlink" Target="https://www.libertaddigital.com/espana/2018-12-06/pedro-sanchez-descarta-elecciones-en-marzo-pero-abre-la-puerta-a-mayo-1276629489/" TargetMode="External"/><Relationship Id="rId3396" Type="http://schemas.openxmlformats.org/officeDocument/2006/relationships/hyperlink" Target="http://atres.red/4ncii6086" TargetMode="External"/><Relationship Id="rId28" Type="http://schemas.openxmlformats.org/officeDocument/2006/relationships/hyperlink" Target="http://youtu.be/Q9MfBbVwvpg?a" TargetMode="External"/><Relationship Id="rId1803" Type="http://schemas.openxmlformats.org/officeDocument/2006/relationships/hyperlink" Target="https://curiouscat.me/ginesgarciaimb" TargetMode="External"/><Relationship Id="rId3049" Type="http://schemas.openxmlformats.org/officeDocument/2006/relationships/hyperlink" Target="http://pic.twitter.com/bzYg8AD6NQ" TargetMode="External"/><Relationship Id="rId3256" Type="http://schemas.openxmlformats.org/officeDocument/2006/relationships/hyperlink" Target="http://veoinfo.com/" TargetMode="External"/><Relationship Id="rId177" Type="http://schemas.openxmlformats.org/officeDocument/2006/relationships/hyperlink" Target="https://www.periodistadigital.com/periodismo/periodismo-online/2018/05/28/el-video-de-las-asquerosas-negociaciones-secretas-del-psoe-con-erc-que-hunde-a-pedro-sanchez.shtml" TargetMode="External"/><Relationship Id="rId384" Type="http://schemas.openxmlformats.org/officeDocument/2006/relationships/hyperlink" Target="http://riazor.org/" TargetMode="External"/><Relationship Id="rId591" Type="http://schemas.openxmlformats.org/officeDocument/2006/relationships/hyperlink" Target="https://www.libertaddigital.com/espana/2018-12-06/pedro-sanchez-desconoce-la-constitucion-pide-reformarla-para-incluir-la-igualdad-entre-hombres-y-mujeres-1276629507/" TargetMode="External"/><Relationship Id="rId2065" Type="http://schemas.openxmlformats.org/officeDocument/2006/relationships/hyperlink" Target="http://paper.li/wizfun/1315752719" TargetMode="External"/><Relationship Id="rId2272" Type="http://schemas.openxmlformats.org/officeDocument/2006/relationships/hyperlink" Target="https://bit.ly/2Sx3CJn" TargetMode="External"/><Relationship Id="rId3116" Type="http://schemas.openxmlformats.org/officeDocument/2006/relationships/hyperlink" Target="http://videos.elmundo.es/v/0_lwslz5du-abucheos-a-pedro-sanchez" TargetMode="External"/><Relationship Id="rId244" Type="http://schemas.openxmlformats.org/officeDocument/2006/relationships/hyperlink" Target="https://pbs.twimg.com/media/Dt5g2R4WwAIGbRJ.jpg" TargetMode="External"/><Relationship Id="rId689" Type="http://schemas.openxmlformats.org/officeDocument/2006/relationships/hyperlink" Target="http://okdiario.com/espana/2018/12/07/pedro-sanchez-reformar-constitucion-incluir-igualdad-hombres-mujeres-articulo-14-desde-hace-40-anos-3437620" TargetMode="External"/><Relationship Id="rId896" Type="http://schemas.openxmlformats.org/officeDocument/2006/relationships/hyperlink" Target="https://www.libertaddigital.com/espana/2018-12-06/pedro-sanchez-desconoce-la-constitucion-pide-reformarla-para-incluir-la-igualdad-entre-hombres-y-mujeres-1276629507/" TargetMode="External"/><Relationship Id="rId1081" Type="http://schemas.openxmlformats.org/officeDocument/2006/relationships/hyperlink" Target="http://es.linkedin.com/pub/enrique-ruiz-gimeno/49/916/350" TargetMode="External"/><Relationship Id="rId2577" Type="http://schemas.openxmlformats.org/officeDocument/2006/relationships/hyperlink" Target="http://youtu.be/aQGdsG86_XQ?a" TargetMode="External"/><Relationship Id="rId2784" Type="http://schemas.openxmlformats.org/officeDocument/2006/relationships/hyperlink" Target="https://www.20minutos.es/noticia/3510514/0/pedro-sanchez-andalucia-susana-diaz/" TargetMode="External"/><Relationship Id="rId3323" Type="http://schemas.openxmlformats.org/officeDocument/2006/relationships/hyperlink" Target="https://pbs.twimg.com/media/DtvIoKpW4AAnV2I.jpg" TargetMode="External"/><Relationship Id="rId451" Type="http://schemas.openxmlformats.org/officeDocument/2006/relationships/hyperlink" Target="http://libertadunico.blogspot.com/" TargetMode="External"/><Relationship Id="rId549" Type="http://schemas.openxmlformats.org/officeDocument/2006/relationships/hyperlink" Target="http://www.comillas.edu/es/biblioteca" TargetMode="External"/><Relationship Id="rId756" Type="http://schemas.openxmlformats.org/officeDocument/2006/relationships/hyperlink" Target="http://page.is/larevuelo53" TargetMode="External"/><Relationship Id="rId1179" Type="http://schemas.openxmlformats.org/officeDocument/2006/relationships/hyperlink" Target="http://dlvr.it/Qt4Fbg" TargetMode="External"/><Relationship Id="rId1386" Type="http://schemas.openxmlformats.org/officeDocument/2006/relationships/hyperlink" Target="http://www.canalextremadura.es/noticias" TargetMode="External"/><Relationship Id="rId1593" Type="http://schemas.openxmlformats.org/officeDocument/2006/relationships/hyperlink" Target="https://okdiario.com/espana/2018/12/07/pedro-sanchez-reformar-constitucion-incluir-igualdad-hombres-mujeres-articulo-14-desde-hace-40-anos-3437620" TargetMode="External"/><Relationship Id="rId2132" Type="http://schemas.openxmlformats.org/officeDocument/2006/relationships/hyperlink" Target="https://droneveracruz.com/" TargetMode="External"/><Relationship Id="rId2437" Type="http://schemas.openxmlformats.org/officeDocument/2006/relationships/hyperlink" Target="https://www.citizengo.org/hazteoir/166670-no-expolie-por-segunda-vez-archivo-salamanca" TargetMode="External"/><Relationship Id="rId2991" Type="http://schemas.openxmlformats.org/officeDocument/2006/relationships/hyperlink" Target="http://atres.red/eretz2" TargetMode="External"/><Relationship Id="rId104" Type="http://schemas.openxmlformats.org/officeDocument/2006/relationships/hyperlink" Target="https://www.eldigitalcastillalamancha.es/actualidad/460957021/El-PSOE-de-Page-vuelve-a-distanciarse-de-Pedro-Sanchez-en-defensa-del-sector-de-la-caza.html" TargetMode="External"/><Relationship Id="rId311" Type="http://schemas.openxmlformats.org/officeDocument/2006/relationships/hyperlink" Target="http://ow.ly/8Rex30mUz2E" TargetMode="External"/><Relationship Id="rId409" Type="http://schemas.openxmlformats.org/officeDocument/2006/relationships/hyperlink" Target="https://www.abc.es/espana/abci-arranca-comision-investigara-tesis-pedro-sanchez-201812050400_noticia.html?fbclid=IwAR0nc57e6yQi-sy6FAgNIaXBmi83NmZmvqIcRiFUU3rXd50VYotonza5uDI" TargetMode="External"/><Relationship Id="rId963" Type="http://schemas.openxmlformats.org/officeDocument/2006/relationships/hyperlink" Target="https://twitter.com/numer344/status/1070803382670114816" TargetMode="External"/><Relationship Id="rId1039" Type="http://schemas.openxmlformats.org/officeDocument/2006/relationships/hyperlink" Target="https://pbs.twimg.com/media/Dt1LY6rWsAAY3vE.jpg" TargetMode="External"/><Relationship Id="rId1246" Type="http://schemas.openxmlformats.org/officeDocument/2006/relationships/hyperlink" Target="https://pbs.twimg.com/media/Dt0lCAhX4AAPZR-.jpg" TargetMode="External"/><Relationship Id="rId1898" Type="http://schemas.openxmlformats.org/officeDocument/2006/relationships/hyperlink" Target="http://bit.ly/2QhmXlb" TargetMode="External"/><Relationship Id="rId2644" Type="http://schemas.openxmlformats.org/officeDocument/2006/relationships/hyperlink" Target="https://www.libertaddigital.com/espana/2018-12-06/pedro-sanchez-desconoce-la-constitucion-pide-reformarla-para-incluir-la-igualdad-entre-hombres-y-mujeres-1276629507/" TargetMode="External"/><Relationship Id="rId2851" Type="http://schemas.openxmlformats.org/officeDocument/2006/relationships/hyperlink" Target="https://twitter.com/desdelamoncloa/status/1070002444090904580" TargetMode="External"/><Relationship Id="rId2949" Type="http://schemas.openxmlformats.org/officeDocument/2006/relationships/hyperlink" Target="http://www.inbestia.com/" TargetMode="External"/><Relationship Id="rId92" Type="http://schemas.openxmlformats.org/officeDocument/2006/relationships/hyperlink" Target="https://twitter.com/Societatcc/status/1071376986793304064" TargetMode="External"/><Relationship Id="rId616" Type="http://schemas.openxmlformats.org/officeDocument/2006/relationships/hyperlink" Target="https://pbs.twimg.com/media/Dt3XxBGU0AEjuJe.jpg" TargetMode="External"/><Relationship Id="rId823" Type="http://schemas.openxmlformats.org/officeDocument/2006/relationships/hyperlink" Target="http://dlvr.it/Qt5Rv7" TargetMode="External"/><Relationship Id="rId1453" Type="http://schemas.openxmlformats.org/officeDocument/2006/relationships/hyperlink" Target="http://www.coperonda.es/" TargetMode="External"/><Relationship Id="rId1660" Type="http://schemas.openxmlformats.org/officeDocument/2006/relationships/hyperlink" Target="https://www.mediterraneodigital.com/espana/espana/ridiculo-apoteosico-pedro-sanchez-pide-reformar-la-constitucion-para-incluir-un-articulo-que-ya-existe.html" TargetMode="External"/><Relationship Id="rId1758" Type="http://schemas.openxmlformats.org/officeDocument/2006/relationships/hyperlink" Target="http://copiajuridica.es/2018/12/07/sanchez-aprueba-un-super-plan-de-empleo-juvenil-sin-tener-ni-un-euro-para-activarlo" TargetMode="External"/><Relationship Id="rId2504" Type="http://schemas.openxmlformats.org/officeDocument/2006/relationships/hyperlink" Target="https://pbs.twimg.com/media/Dtws0z4XQAAiBVy.jpg" TargetMode="External"/><Relationship Id="rId2711" Type="http://schemas.openxmlformats.org/officeDocument/2006/relationships/hyperlink" Target="https://&#241;apa.es/" TargetMode="External"/><Relationship Id="rId2809" Type="http://schemas.openxmlformats.org/officeDocument/2006/relationships/hyperlink" Target="https://twitter.com/teogarciaegea/status/1069709119664390144" TargetMode="External"/><Relationship Id="rId1106" Type="http://schemas.openxmlformats.org/officeDocument/2006/relationships/hyperlink" Target="http://www.themetalcircus.com/" TargetMode="External"/><Relationship Id="rId1313" Type="http://schemas.openxmlformats.org/officeDocument/2006/relationships/hyperlink" Target="https://kfedigital.net/mundo/politica/el-presidente-espanol-pedro-sanchez-asistira-a-la-final-de-la-copa-libertadores-en-el-santiago-bernabeu/" TargetMode="External"/><Relationship Id="rId1520" Type="http://schemas.openxmlformats.org/officeDocument/2006/relationships/hyperlink" Target="http://youtu.be/OBEluUwFIu0?a" TargetMode="External"/><Relationship Id="rId1965" Type="http://schemas.openxmlformats.org/officeDocument/2006/relationships/hyperlink" Target="https://www.republica.com/2018/12/06/pedro-sanchez-aleja-la-posibilidad-de-elecciones-en-marzo-seguiremos-gobernando/" TargetMode="External"/><Relationship Id="rId3180" Type="http://schemas.openxmlformats.org/officeDocument/2006/relationships/hyperlink" Target="http://dlvr.it/QszRzS" TargetMode="External"/><Relationship Id="rId1618" Type="http://schemas.openxmlformats.org/officeDocument/2006/relationships/hyperlink" Target="https://www.libremercado.com/2018-12-07/el-populismo-de-pedro-sanchez-se-extiende-al-sector-energetico-1276629287/" TargetMode="External"/><Relationship Id="rId1825" Type="http://schemas.openxmlformats.org/officeDocument/2006/relationships/hyperlink" Target="http://elrincondeyanka.blogspot.com/" TargetMode="External"/><Relationship Id="rId3040" Type="http://schemas.openxmlformats.org/officeDocument/2006/relationships/hyperlink" Target="http://epmundo.com/2018/descontentos-asi-recibieron-a-pedro-sanchez-en-el-congreso-video/" TargetMode="External"/><Relationship Id="rId3278" Type="http://schemas.openxmlformats.org/officeDocument/2006/relationships/hyperlink" Target="http://www.elconfidencialdigital.com/" TargetMode="External"/><Relationship Id="rId199" Type="http://schemas.openxmlformats.org/officeDocument/2006/relationships/hyperlink" Target="http://udec.es/" TargetMode="External"/><Relationship Id="rId2087" Type="http://schemas.openxmlformats.org/officeDocument/2006/relationships/hyperlink" Target="http://www.zapper.news/" TargetMode="External"/><Relationship Id="rId2294" Type="http://schemas.openxmlformats.org/officeDocument/2006/relationships/hyperlink" Target="http://instagram.com/dllanosg" TargetMode="External"/><Relationship Id="rId3138" Type="http://schemas.openxmlformats.org/officeDocument/2006/relationships/hyperlink" Target="https://okdiario.com/espana/2018/12/06/sanchez-agarra-abstencion-del-pdecat-presupuestos-seguir-sin-elecciones-3435669" TargetMode="External"/><Relationship Id="rId3345" Type="http://schemas.openxmlformats.org/officeDocument/2006/relationships/hyperlink" Target="http://a.msn.com/01/es-es/BBQzFAI?ocid=st" TargetMode="External"/><Relationship Id="rId266" Type="http://schemas.openxmlformats.org/officeDocument/2006/relationships/hyperlink" Target="https://www.farodevigo.es/galicia/2018/12/08/galicia-percibira-555000-euros-programas/2012710.html" TargetMode="External"/><Relationship Id="rId473" Type="http://schemas.openxmlformats.org/officeDocument/2006/relationships/hyperlink" Target="http://www.infoaguilas.es/detalle-reportaje.php?id=3005" TargetMode="External"/><Relationship Id="rId680" Type="http://schemas.openxmlformats.org/officeDocument/2006/relationships/hyperlink" Target="https://www.elmundo.es/espana/2016/09/27/57eab819268e3eb25b8b45e0.html" TargetMode="External"/><Relationship Id="rId2154" Type="http://schemas.openxmlformats.org/officeDocument/2006/relationships/hyperlink" Target="http://epmundo.com/2018/descontentos-asi-recibieron-a-pedro-sanchez-en-el-congreso-video/?utm_source=twitter&amp;utm_medium=social&amp;utm_campaign=ReviveOldPost" TargetMode="External"/><Relationship Id="rId2361" Type="http://schemas.openxmlformats.org/officeDocument/2006/relationships/hyperlink" Target="https://m.eldiario.es/_32458250" TargetMode="External"/><Relationship Id="rId2599" Type="http://schemas.openxmlformats.org/officeDocument/2006/relationships/hyperlink" Target="https://www.libertaddigital.com/espana/2018-12-06/pedro-sanchez-descarta-elecciones-en-marzo-pero-abre-la-puerta-a-mayo-1276629489/" TargetMode="External"/><Relationship Id="rId3205" Type="http://schemas.openxmlformats.org/officeDocument/2006/relationships/hyperlink" Target="http://www.madrid.org/fp" TargetMode="External"/><Relationship Id="rId3412" Type="http://schemas.openxmlformats.org/officeDocument/2006/relationships/hyperlink" Target="https://pbs.twimg.com/media/DtmSzMDX4AAmi-V.jpg" TargetMode="External"/><Relationship Id="rId126" Type="http://schemas.openxmlformats.org/officeDocument/2006/relationships/hyperlink" Target="https://www.20minutos.es/noticia/3511559/0/pedro-sanchez-proeuropeo-apoyarse-fuerzas-antieuropeistas-gobernar/" TargetMode="External"/><Relationship Id="rId333" Type="http://schemas.openxmlformats.org/officeDocument/2006/relationships/hyperlink" Target="https://www.dolcacatalunya.com/2016/10/cierto-tan-fuerte-cuentan-pedro-sanchez/" TargetMode="External"/><Relationship Id="rId540" Type="http://schemas.openxmlformats.org/officeDocument/2006/relationships/hyperlink" Target="https://pbs.twimg.com/media/Dt4WPTOX4AAuCX2.jpg" TargetMode="External"/><Relationship Id="rId778" Type="http://schemas.openxmlformats.org/officeDocument/2006/relationships/hyperlink" Target="http://va.newsrepublic.net/s/kyTwMY" TargetMode="External"/><Relationship Id="rId985" Type="http://schemas.openxmlformats.org/officeDocument/2006/relationships/hyperlink" Target="http://www.radiomunera.com/" TargetMode="External"/><Relationship Id="rId1170" Type="http://schemas.openxmlformats.org/officeDocument/2006/relationships/hyperlink" Target="https://pbs.twimg.com/media/Dt0yeUhXcAAWAxD.jpg" TargetMode="External"/><Relationship Id="rId2014" Type="http://schemas.openxmlformats.org/officeDocument/2006/relationships/hyperlink" Target="https://www.libertaddigital.com/espana/2018-12-06/pedro-sanchez-desconoce-la-constitucion-pide-reformarla-para-incluir-la-igualdad-entre-hombres-y-mujeres-1276629507/" TargetMode="External"/><Relationship Id="rId2221" Type="http://schemas.openxmlformats.org/officeDocument/2006/relationships/hyperlink" Target="http://bit.ly/2Sx3CJn" TargetMode="External"/><Relationship Id="rId2459" Type="http://schemas.openxmlformats.org/officeDocument/2006/relationships/hyperlink" Target="https://www.esdiario.com/238196932/El-verdadero-CIS-de-Pedro-Sanchez-otro-espectacular-abucheo-en-el-Congreso.html" TargetMode="External"/><Relationship Id="rId2666" Type="http://schemas.openxmlformats.org/officeDocument/2006/relationships/hyperlink" Target="https://twitter.com/sanchezcastejon/status/1070736196228317184" TargetMode="External"/><Relationship Id="rId2873" Type="http://schemas.openxmlformats.org/officeDocument/2006/relationships/hyperlink" Target="http://esradio.libertaddigital.com/es-la-tarde-de-dieter/" TargetMode="External"/><Relationship Id="rId638" Type="http://schemas.openxmlformats.org/officeDocument/2006/relationships/hyperlink" Target="https://pbs.twimg.com/media/Dt3Kn2WX4AAXL9c.jpg" TargetMode="External"/><Relationship Id="rId845" Type="http://schemas.openxmlformats.org/officeDocument/2006/relationships/hyperlink" Target="https://okdiario.com/espana/andalucia/2018/12/01/pedro-sanchez-pide-que-andalucia-si-permita-gobernar-lista-mas-votada-3415263?utm_term=Autofeed&amp;utm_campaign=ok&amp;utm_medium=Social&amp;utm_source=Twitter" TargetMode="External"/><Relationship Id="rId1030" Type="http://schemas.openxmlformats.org/officeDocument/2006/relationships/hyperlink" Target="http://pic.twitter.com/y9xH5stEOA" TargetMode="External"/><Relationship Id="rId1268" Type="http://schemas.openxmlformats.org/officeDocument/2006/relationships/hyperlink" Target="https://pbs.twimg.com/media/Dt0jDTsXQAApLxM.jpg" TargetMode="External"/><Relationship Id="rId1475" Type="http://schemas.openxmlformats.org/officeDocument/2006/relationships/hyperlink" Target="http://net.quantitas.com/help/contact" TargetMode="External"/><Relationship Id="rId1682" Type="http://schemas.openxmlformats.org/officeDocument/2006/relationships/hyperlink" Target="https://magnet.xataka.com/en-diez-minutos/pedro-sanchez-quiere-incluir-igualdad-hombres-mujeres-constitucion-aparece" TargetMode="External"/><Relationship Id="rId2319" Type="http://schemas.openxmlformats.org/officeDocument/2006/relationships/hyperlink" Target="https://www.lavanguardia.com/politica/20181206/453401347493/pedro-sanchez-constitucion-reformar-igualdad-de-genero.html?utm_source=twitter_lv&amp;utm_medium=social" TargetMode="External"/><Relationship Id="rId2526" Type="http://schemas.openxmlformats.org/officeDocument/2006/relationships/hyperlink" Target="https://twitter.com/Escribano_R/status/1070649446927663104" TargetMode="External"/><Relationship Id="rId2733" Type="http://schemas.openxmlformats.org/officeDocument/2006/relationships/hyperlink" Target="http://chng.it/F6ZvXjYJ" TargetMode="External"/><Relationship Id="rId400" Type="http://schemas.openxmlformats.org/officeDocument/2006/relationships/hyperlink" Target="http://epmundo.com/" TargetMode="External"/><Relationship Id="rId705" Type="http://schemas.openxmlformats.org/officeDocument/2006/relationships/hyperlink" Target="https://twitter.com/numer344/status/1070803382670114816" TargetMode="External"/><Relationship Id="rId1128" Type="http://schemas.openxmlformats.org/officeDocument/2006/relationships/hyperlink" Target="https://youtu.be/_ifz81LmVRE" TargetMode="External"/><Relationship Id="rId1335" Type="http://schemas.openxmlformats.org/officeDocument/2006/relationships/hyperlink" Target="https://pbs.twimg.com/media/Dt0atEAWwAIsUxo.jpg" TargetMode="External"/><Relationship Id="rId1542" Type="http://schemas.openxmlformats.org/officeDocument/2006/relationships/hyperlink" Target="http://okdiario.com/espana/2018/12/07/pedro-sanchez-reformar-constitucion-incluir-igualdad-hombres-mujeres-articulo-14-desde-hace-40-anos-3437620" TargetMode="External"/><Relationship Id="rId1987" Type="http://schemas.openxmlformats.org/officeDocument/2006/relationships/hyperlink" Target="http://epmundo.com/" TargetMode="External"/><Relationship Id="rId2940" Type="http://schemas.openxmlformats.org/officeDocument/2006/relationships/hyperlink" Target="http://radiomitre.com.ar/es/la/web/oficial" TargetMode="External"/><Relationship Id="rId912" Type="http://schemas.openxmlformats.org/officeDocument/2006/relationships/hyperlink" Target="https://youtu.be/OBEluUwFIu0" TargetMode="External"/><Relationship Id="rId1847" Type="http://schemas.openxmlformats.org/officeDocument/2006/relationships/hyperlink" Target="http://www.inmoavery.com/" TargetMode="External"/><Relationship Id="rId2800" Type="http://schemas.openxmlformats.org/officeDocument/2006/relationships/hyperlink" Target="https://twitter.com/sanchezcastejon/status/1070736196228317184" TargetMode="External"/><Relationship Id="rId41" Type="http://schemas.openxmlformats.org/officeDocument/2006/relationships/hyperlink" Target="https://cambiouniversitario.wordpress.com/2016/10/22/manifiesto-para-el-cambio-universitario/" TargetMode="External"/><Relationship Id="rId1402" Type="http://schemas.openxmlformats.org/officeDocument/2006/relationships/hyperlink" Target="https://www.facebook.com/NoticiasPuntual" TargetMode="External"/><Relationship Id="rId1707" Type="http://schemas.openxmlformats.org/officeDocument/2006/relationships/hyperlink" Target="http://www.pp.es/" TargetMode="External"/><Relationship Id="rId3062" Type="http://schemas.openxmlformats.org/officeDocument/2006/relationships/hyperlink" Target="http://www.misnovelas-liliagonzalez.es/" TargetMode="External"/><Relationship Id="rId190" Type="http://schemas.openxmlformats.org/officeDocument/2006/relationships/hyperlink" Target="http://dlvr.it/Qt7wlL" TargetMode="External"/><Relationship Id="rId288" Type="http://schemas.openxmlformats.org/officeDocument/2006/relationships/hyperlink" Target="http://about.me/antgalan" TargetMode="External"/><Relationship Id="rId1914" Type="http://schemas.openxmlformats.org/officeDocument/2006/relationships/hyperlink" Target="https://www.libremercado.com/2018-12-07/el-populismo-de-pedro-sanchez-se-extiende-al-sector-energetico-1276629287/" TargetMode="External"/><Relationship Id="rId3367" Type="http://schemas.openxmlformats.org/officeDocument/2006/relationships/hyperlink" Target="http://zoevaldes.net/2018/12/06/abucheos-y-pitos-a-pedro-sanchez-a-las-puertas-del-congreso-en-el-6-d-el-espanol/" TargetMode="External"/><Relationship Id="rId495" Type="http://schemas.openxmlformats.org/officeDocument/2006/relationships/hyperlink" Target="http://www.elasterisco.es/" TargetMode="External"/><Relationship Id="rId2176" Type="http://schemas.openxmlformats.org/officeDocument/2006/relationships/hyperlink" Target="https://elpais.com/politica/2018/12/06/actualidad/1544108922_690929.html?id_externo_rsoc=TW_CC" TargetMode="External"/><Relationship Id="rId2383" Type="http://schemas.openxmlformats.org/officeDocument/2006/relationships/hyperlink" Target="http://bit.ly/2REcoW3" TargetMode="External"/><Relationship Id="rId2590" Type="http://schemas.openxmlformats.org/officeDocument/2006/relationships/hyperlink" Target="https://www.elconfidencial.com/espana/2018-12-06/pedro-sanchez-adelanto-electoral-marzo-seguiremos-trabajando-gobernando_1690978/" TargetMode="External"/><Relationship Id="rId3227" Type="http://schemas.openxmlformats.org/officeDocument/2006/relationships/hyperlink" Target="https://www.abc.es/espana/abci-pedro-sanchez-llega-entre-abucheos-congreso-40-aniversario-constitucion-201812061227_noticia.html" TargetMode="External"/><Relationship Id="rId3434" Type="http://schemas.openxmlformats.org/officeDocument/2006/relationships/hyperlink" Target="http://bit.ly/2Qi6Vra" TargetMode="External"/><Relationship Id="rId148" Type="http://schemas.openxmlformats.org/officeDocument/2006/relationships/hyperlink" Target="https://www.20minutos.es/noticia/3511559/0/pedro-sanchez-proeuropeo-apoyarse-fuerzas-antieuropeistas-gobernar/?utm_source=twitter.com&amp;utm_medium=socialshare&amp;utm_campaign=mobile_web" TargetMode="External"/><Relationship Id="rId355" Type="http://schemas.openxmlformats.org/officeDocument/2006/relationships/hyperlink" Target="http://copiajuridica.es/2018/12/08/sanchez-hunde-de-nuevo-la-confianza-de-los-espanoles-en-el-futuro-economico" TargetMode="External"/><Relationship Id="rId562" Type="http://schemas.openxmlformats.org/officeDocument/2006/relationships/hyperlink" Target="http://shr.gs/k83WNfQ" TargetMode="External"/><Relationship Id="rId1192" Type="http://schemas.openxmlformats.org/officeDocument/2006/relationships/hyperlink" Target="http://epmundo.com/2018/el-bombazo-que-lanzo-pedro-sanchez-sobre-las-elecciones-generales/" TargetMode="External"/><Relationship Id="rId2036" Type="http://schemas.openxmlformats.org/officeDocument/2006/relationships/hyperlink" Target="https://www.eldiario.es/_32458250" TargetMode="External"/><Relationship Id="rId2243" Type="http://schemas.openxmlformats.org/officeDocument/2006/relationships/hyperlink" Target="https://twitter.com/sanchezcastejon/status/1070736196228317184" TargetMode="External"/><Relationship Id="rId2450" Type="http://schemas.openxmlformats.org/officeDocument/2006/relationships/hyperlink" Target="https://www.libertaddigital.com/espana/2018-12-06/pedro-sanchez-desconoce-la-constitucion-pide-reformarla-para-incluir-la-igualdad-entre-hombres-y-mujeres-1276629507/" TargetMode="External"/><Relationship Id="rId2688" Type="http://schemas.openxmlformats.org/officeDocument/2006/relationships/hyperlink" Target="http://flip.it/dMTda2" TargetMode="External"/><Relationship Id="rId2895" Type="http://schemas.openxmlformats.org/officeDocument/2006/relationships/hyperlink" Target="https://pbs.twimg.com/media/Dtv7vZpWoAEruN3.jpg" TargetMode="External"/><Relationship Id="rId215" Type="http://schemas.openxmlformats.org/officeDocument/2006/relationships/hyperlink" Target="https://twitter.com/sanchezcastejon/status/1071362737614274560" TargetMode="External"/><Relationship Id="rId422" Type="http://schemas.openxmlformats.org/officeDocument/2006/relationships/hyperlink" Target="https://bit.ly/2ROHt9P" TargetMode="External"/><Relationship Id="rId867" Type="http://schemas.openxmlformats.org/officeDocument/2006/relationships/hyperlink" Target="http://xfru.it/47Z2Vu" TargetMode="External"/><Relationship Id="rId1052" Type="http://schemas.openxmlformats.org/officeDocument/2006/relationships/hyperlink" Target="https://pbs.twimg.com/media/Dt1JYqIW0AU5mZz.jpg" TargetMode="External"/><Relationship Id="rId1497" Type="http://schemas.openxmlformats.org/officeDocument/2006/relationships/hyperlink" Target="http://rcdlc.com/" TargetMode="External"/><Relationship Id="rId2103" Type="http://schemas.openxmlformats.org/officeDocument/2006/relationships/hyperlink" Target="http://epmundo.com/2018/descontentos-asi-recibieron-a-pedro-sanchez-en-el-congreso-video/" TargetMode="External"/><Relationship Id="rId2310" Type="http://schemas.openxmlformats.org/officeDocument/2006/relationships/hyperlink" Target="https://www.mundiario.com/articulo/politica/pedro-sanchez-aleja-posibilidad-elecciones-marzo/20181206230653140008.html" TargetMode="External"/><Relationship Id="rId2548" Type="http://schemas.openxmlformats.org/officeDocument/2006/relationships/hyperlink" Target="https://pbs.twimg.com/media/Dtwny-2W4AEGPWF.jpg" TargetMode="External"/><Relationship Id="rId2755" Type="http://schemas.openxmlformats.org/officeDocument/2006/relationships/hyperlink" Target="https://www.esdiario.com/238196932/El-verdadero-CIS-de-Pedro-Sanchez-otro-espectacular-abucheo-en-el-Congreso.html" TargetMode="External"/><Relationship Id="rId2962" Type="http://schemas.openxmlformats.org/officeDocument/2006/relationships/hyperlink" Target="https://pbs.twimg.com/media/DtvzdgSXcAAKXZe.jpg" TargetMode="External"/><Relationship Id="rId727" Type="http://schemas.openxmlformats.org/officeDocument/2006/relationships/hyperlink" Target="https://www.spreaker.com/episode/15795773" TargetMode="External"/><Relationship Id="rId934" Type="http://schemas.openxmlformats.org/officeDocument/2006/relationships/hyperlink" Target="https://pbs.twimg.com/media/Dt1emWcXcAA0ssn.jpg" TargetMode="External"/><Relationship Id="rId1357" Type="http://schemas.openxmlformats.org/officeDocument/2006/relationships/hyperlink" Target="https://pbs.twimg.com/media/Dt0W91gXcAENr-e.jpg" TargetMode="External"/><Relationship Id="rId1564" Type="http://schemas.openxmlformats.org/officeDocument/2006/relationships/hyperlink" Target="https://pbs.twimg.com/media/Dtz_auIXQAAb0Xt.jpg" TargetMode="External"/><Relationship Id="rId1771" Type="http://schemas.openxmlformats.org/officeDocument/2006/relationships/hyperlink" Target="https://twitter.com/sanchezcastejon/status/1070736196228317184" TargetMode="External"/><Relationship Id="rId2408" Type="http://schemas.openxmlformats.org/officeDocument/2006/relationships/hyperlink" Target="http://eldiario.es/" TargetMode="External"/><Relationship Id="rId2615" Type="http://schemas.openxmlformats.org/officeDocument/2006/relationships/hyperlink" Target="http://dlvr.it/Qt0kFQ" TargetMode="External"/><Relationship Id="rId2822" Type="http://schemas.openxmlformats.org/officeDocument/2006/relationships/hyperlink" Target="http://elnortedecastilla.es/" TargetMode="External"/><Relationship Id="rId63" Type="http://schemas.openxmlformats.org/officeDocument/2006/relationships/hyperlink" Target="https://ramonrey.blog/" TargetMode="External"/><Relationship Id="rId1217" Type="http://schemas.openxmlformats.org/officeDocument/2006/relationships/hyperlink" Target="http://www.catalunyalliure.cat/2018/12/carta-oberta-president-pedro-sanchez/" TargetMode="External"/><Relationship Id="rId1424" Type="http://schemas.openxmlformats.org/officeDocument/2006/relationships/hyperlink" Target="https://pbs.twimg.com/media/Dt0OZLtX4AARq68.jpg" TargetMode="External"/><Relationship Id="rId1631" Type="http://schemas.openxmlformats.org/officeDocument/2006/relationships/hyperlink" Target="http://www.mediterraneodigital.com/espana/espana/ridiculo-apoteosico-pedro-sanchez-pide-reformar-la-constitucion-para-incluir-un-articulo-que-ya-existe.html" TargetMode="External"/><Relationship Id="rId1869" Type="http://schemas.openxmlformats.org/officeDocument/2006/relationships/hyperlink" Target="http://www.eldiarionorte.es/" TargetMode="External"/><Relationship Id="rId3084" Type="http://schemas.openxmlformats.org/officeDocument/2006/relationships/hyperlink" Target="http://dlvr.it/QszfBJ" TargetMode="External"/><Relationship Id="rId3291" Type="http://schemas.openxmlformats.org/officeDocument/2006/relationships/hyperlink" Target="https://www.libertaddigital.com/espana/politica/2018-12-06/abuheo-general-a-pedro-sanchez-convoca-elecciones-1276629479/" TargetMode="External"/><Relationship Id="rId1729" Type="http://schemas.openxmlformats.org/officeDocument/2006/relationships/hyperlink" Target="https://twitter.com/bcnisnotcat_/status/1070766255425142787" TargetMode="External"/><Relationship Id="rId1936" Type="http://schemas.openxmlformats.org/officeDocument/2006/relationships/hyperlink" Target="https://www.libremercado.com/2018-12-07/el-populismo-de-pedro-sanchez-se-extiende-al-sector-energetico-1276629287/" TargetMode="External"/><Relationship Id="rId3389" Type="http://schemas.openxmlformats.org/officeDocument/2006/relationships/hyperlink" Target="http://juliocasarrubios.blogspot.com/" TargetMode="External"/><Relationship Id="rId2198" Type="http://schemas.openxmlformats.org/officeDocument/2006/relationships/hyperlink" Target="https://okdiario.com/espana/2018/12/06/pedro-sanchez-no-forzara-relevo-susana-diaz-dejara-psoe-andaluz-fulmine-3434507" TargetMode="External"/><Relationship Id="rId3151" Type="http://schemas.openxmlformats.org/officeDocument/2006/relationships/hyperlink" Target="https://www.zapper.news/news" TargetMode="External"/><Relationship Id="rId3249" Type="http://schemas.openxmlformats.org/officeDocument/2006/relationships/hyperlink" Target="http://londrestv.com/index.php/news2/510-presidente-de-espana-abogo-por-eliminar-la-inviolabilidad-de-felipe-vi" TargetMode="External"/><Relationship Id="rId377" Type="http://schemas.openxmlformats.org/officeDocument/2006/relationships/hyperlink" Target="http://www.cossat.com/" TargetMode="External"/><Relationship Id="rId584" Type="http://schemas.openxmlformats.org/officeDocument/2006/relationships/hyperlink" Target="http://t.me/ahoracantabria" TargetMode="External"/><Relationship Id="rId2058" Type="http://schemas.openxmlformats.org/officeDocument/2006/relationships/hyperlink" Target="https://m.facebook.com/?_rdr" TargetMode="External"/><Relationship Id="rId2265" Type="http://schemas.openxmlformats.org/officeDocument/2006/relationships/hyperlink" Target="http://anguca7.blogspot.com.es/" TargetMode="External"/><Relationship Id="rId3011" Type="http://schemas.openxmlformats.org/officeDocument/2006/relationships/hyperlink" Target="https://pbs.twimg.com/media/DtvtMUhW4AIZPmz.jpg" TargetMode="External"/><Relationship Id="rId3109" Type="http://schemas.openxmlformats.org/officeDocument/2006/relationships/hyperlink" Target="http://shr.gs/gWXjNyH" TargetMode="External"/><Relationship Id="rId5" Type="http://schemas.openxmlformats.org/officeDocument/2006/relationships/hyperlink" Target="https://bit.ly/2E92kR5" TargetMode="External"/><Relationship Id="rId237" Type="http://schemas.openxmlformats.org/officeDocument/2006/relationships/hyperlink" Target="https://youtu.be/7yz8j5L5nK0" TargetMode="External"/><Relationship Id="rId791" Type="http://schemas.openxmlformats.org/officeDocument/2006/relationships/hyperlink" Target="http://www.alertadigital.com/2018/06/29/pedro-sanchez-da-oxigeno-a-merkel-se-compromete-a-acoger-en-espana-a-miles-de-refugiados-que-se-encuentran-en-alemania/" TargetMode="External"/><Relationship Id="rId889" Type="http://schemas.openxmlformats.org/officeDocument/2006/relationships/hyperlink" Target="https://youtu.be/QFj42skgk1c" TargetMode="External"/><Relationship Id="rId1074" Type="http://schemas.openxmlformats.org/officeDocument/2006/relationships/hyperlink" Target="https://www.cope.es/n/306196" TargetMode="External"/><Relationship Id="rId2472" Type="http://schemas.openxmlformats.org/officeDocument/2006/relationships/hyperlink" Target="https://www.elespanol.com/espana/politica/20181206/abucheos-pitos-pedro-sanchez-puertas-congreso/358714535_0.html" TargetMode="External"/><Relationship Id="rId2777" Type="http://schemas.openxmlformats.org/officeDocument/2006/relationships/hyperlink" Target="http://eldiario.es/" TargetMode="External"/><Relationship Id="rId3316" Type="http://schemas.openxmlformats.org/officeDocument/2006/relationships/hyperlink" Target="http://www.lasexta.com/noticias/" TargetMode="External"/><Relationship Id="rId444" Type="http://schemas.openxmlformats.org/officeDocument/2006/relationships/hyperlink" Target="http://www.lainformacion.com/" TargetMode="External"/><Relationship Id="rId651" Type="http://schemas.openxmlformats.org/officeDocument/2006/relationships/hyperlink" Target="https://m.eldiario.es/_32458250" TargetMode="External"/><Relationship Id="rId749" Type="http://schemas.openxmlformats.org/officeDocument/2006/relationships/hyperlink" Target="http://www.los-verdes.es/" TargetMode="External"/><Relationship Id="rId1281" Type="http://schemas.openxmlformats.org/officeDocument/2006/relationships/hyperlink" Target="https://giliprogre.wordpress.com/" TargetMode="External"/><Relationship Id="rId1379" Type="http://schemas.openxmlformats.org/officeDocument/2006/relationships/hyperlink" Target="http://j.mp/2RIBZgA" TargetMode="External"/><Relationship Id="rId1586" Type="http://schemas.openxmlformats.org/officeDocument/2006/relationships/hyperlink" Target="http://disq.us/t/39a282x" TargetMode="External"/><Relationship Id="rId2125" Type="http://schemas.openxmlformats.org/officeDocument/2006/relationships/hyperlink" Target="https://bit.ly/2Sx3CJn" TargetMode="External"/><Relationship Id="rId2332" Type="http://schemas.openxmlformats.org/officeDocument/2006/relationships/hyperlink" Target="https://elpais.com/politica/2018/12/04/actualidad/1543916726_658727.html?id_externo_rsoc=TW_CC" TargetMode="External"/><Relationship Id="rId2984" Type="http://schemas.openxmlformats.org/officeDocument/2006/relationships/hyperlink" Target="https://elpais.com/politica/2018/12/04/actualidad/1543916726_658727.html?id_externo_rsoc=TW_CC" TargetMode="External"/><Relationship Id="rId304" Type="http://schemas.openxmlformats.org/officeDocument/2006/relationships/hyperlink" Target="https://okdiario.com/espana/cataluna/2018/12/08/sanchez-ofrece-separatistas-reconocer-cataluna-como-nacion-cambio-del-si-presupuestos-3439890" TargetMode="External"/><Relationship Id="rId511" Type="http://schemas.openxmlformats.org/officeDocument/2006/relationships/hyperlink" Target="https://okdiario.com/economia/2018/12/08/italia-credibilidad-presupuestos-pedro-sanchez-denunciar-ue-trato-discriminatorio-3437675" TargetMode="External"/><Relationship Id="rId609" Type="http://schemas.openxmlformats.org/officeDocument/2006/relationships/hyperlink" Target="http://bit.ly/2UoMmrB" TargetMode="External"/><Relationship Id="rId956" Type="http://schemas.openxmlformats.org/officeDocument/2006/relationships/hyperlink" Target="https://pbs.twimg.com/media/Dt0df-EXgAEXzP_.jpg" TargetMode="External"/><Relationship Id="rId1141" Type="http://schemas.openxmlformats.org/officeDocument/2006/relationships/hyperlink" Target="http://eju.tv/" TargetMode="External"/><Relationship Id="rId1239" Type="http://schemas.openxmlformats.org/officeDocument/2006/relationships/hyperlink" Target="https://www.elespanol.com/opinion/columnas/20181207/constitucion-quiere-podemos/358844117_13.amp.html?__twitter_impression=true" TargetMode="External"/><Relationship Id="rId1793" Type="http://schemas.openxmlformats.org/officeDocument/2006/relationships/hyperlink" Target="https://pbs.twimg.com/media/DtzgrkxVAAIs6pM.jpg" TargetMode="External"/><Relationship Id="rId2637" Type="http://schemas.openxmlformats.org/officeDocument/2006/relationships/hyperlink" Target="https://www.libertaddigital.com/espana/2018-12-06/pedro-sanchez-desconoce-la-constitucion-pide-reformarla-para-incluir-la-igualdad-entre-hombres-y-mujeres-1276629507/" TargetMode="External"/><Relationship Id="rId2844" Type="http://schemas.openxmlformats.org/officeDocument/2006/relationships/hyperlink" Target="https://goo.gl/c6WHTD" TargetMode="External"/><Relationship Id="rId85" Type="http://schemas.openxmlformats.org/officeDocument/2006/relationships/hyperlink" Target="https://pbs.twimg.com/media/Dt5_SvPX4AAsK_O.jpg" TargetMode="External"/><Relationship Id="rId816" Type="http://schemas.openxmlformats.org/officeDocument/2006/relationships/hyperlink" Target="http://veoinfo.com/" TargetMode="External"/><Relationship Id="rId1001" Type="http://schemas.openxmlformats.org/officeDocument/2006/relationships/hyperlink" Target="http://www.economistadecabecera.es/" TargetMode="External"/><Relationship Id="rId1446" Type="http://schemas.openxmlformats.org/officeDocument/2006/relationships/hyperlink" Target="https://www.mediterraneodigital.com/espana/espana/ridiculo-apoteosico-pedro-sanchez-pide-reformar-la-constitucion-para-incluir-un-articulo-que-ya-existe.html" TargetMode="External"/><Relationship Id="rId1653" Type="http://schemas.openxmlformats.org/officeDocument/2006/relationships/hyperlink" Target="https://www.libertaddigital.com/espana/2018-12-06/pedro-sanchez-desconoce-la-constitucion-pide-reformarla-para-incluir-la-igualdad-entre-hombres-y-mujeres-1276629507/" TargetMode="External"/><Relationship Id="rId1860" Type="http://schemas.openxmlformats.org/officeDocument/2006/relationships/hyperlink" Target="https://www.eldiestro.es/2018/12/pedro-sanchez-demuestra-ser-un-ignorante-y-un-caradura-en-una-entrevista-concedida-a-el-pais/" TargetMode="External"/><Relationship Id="rId2704" Type="http://schemas.openxmlformats.org/officeDocument/2006/relationships/hyperlink" Target="http://www.giron.cu/" TargetMode="External"/><Relationship Id="rId2911" Type="http://schemas.openxmlformats.org/officeDocument/2006/relationships/hyperlink" Target="https://pbs.twimg.com/media/Dtv6bSrWsAE2k7K.jpg" TargetMode="External"/><Relationship Id="rId1306" Type="http://schemas.openxmlformats.org/officeDocument/2006/relationships/hyperlink" Target="http://www.lasexta.com/noticias/" TargetMode="External"/><Relationship Id="rId1513" Type="http://schemas.openxmlformats.org/officeDocument/2006/relationships/hyperlink" Target="https://pbs.twimg.com/media/Dt0EMYLXQAIclAw.jpg" TargetMode="External"/><Relationship Id="rId1720" Type="http://schemas.openxmlformats.org/officeDocument/2006/relationships/hyperlink" Target="http://okdiario.com/espana/2018/12/07/pedro-sanchez-reformar-constitucion-incluir-igualdad-hombres-mujeres-articulo-14-desde-hace-40-anos-3437620" TargetMode="External"/><Relationship Id="rId1958" Type="http://schemas.openxmlformats.org/officeDocument/2006/relationships/hyperlink" Target="https://ift.tt/2EgVqdn" TargetMode="External"/><Relationship Id="rId3173" Type="http://schemas.openxmlformats.org/officeDocument/2006/relationships/hyperlink" Target="https://www.libertaddigital.com/espana/2018-12-06/pedro-sanchez-descarta-elecciones-en-marzo-pero-abre-la-puerta-a-mayo-1276629489/" TargetMode="External"/><Relationship Id="rId3380" Type="http://schemas.openxmlformats.org/officeDocument/2006/relationships/hyperlink" Target="http://www.noelduque.com/" TargetMode="External"/><Relationship Id="rId12" Type="http://schemas.openxmlformats.org/officeDocument/2006/relationships/hyperlink" Target="https://www.periodistadigital.com/opinion/columnistas/2018/12/08/estos-del-psoe-y-sus-patibularios-compinches-no-son-mas-tontos-porque-no-entrenan.shtml" TargetMode="External"/><Relationship Id="rId1818" Type="http://schemas.openxmlformats.org/officeDocument/2006/relationships/hyperlink" Target="http://www.hermandadesdelinares.es/" TargetMode="External"/><Relationship Id="rId3033" Type="http://schemas.openxmlformats.org/officeDocument/2006/relationships/hyperlink" Target="https://www.libertaddigital.com/espana/politica/2018-12-06/abuheo-general-a-pedro-sanchez-convoca-elecciones-1276629479/" TargetMode="External"/><Relationship Id="rId3240" Type="http://schemas.openxmlformats.org/officeDocument/2006/relationships/hyperlink" Target="http://analisisopina.blogspot.com.es/?m=0" TargetMode="External"/><Relationship Id="rId161" Type="http://schemas.openxmlformats.org/officeDocument/2006/relationships/hyperlink" Target="http://www.lextres.com/" TargetMode="External"/><Relationship Id="rId399" Type="http://schemas.openxmlformats.org/officeDocument/2006/relationships/hyperlink" Target="https://pbs.twimg.com/media/Dt45B30U8AAHHBI.jpg" TargetMode="External"/><Relationship Id="rId2287" Type="http://schemas.openxmlformats.org/officeDocument/2006/relationships/hyperlink" Target="http://20minutos.es/" TargetMode="External"/><Relationship Id="rId2494" Type="http://schemas.openxmlformats.org/officeDocument/2006/relationships/hyperlink" Target="http://ddsevilla.info/doqni2" TargetMode="External"/><Relationship Id="rId3338" Type="http://schemas.openxmlformats.org/officeDocument/2006/relationships/hyperlink" Target="https://pbs.twimg.com/media/DtvHvXYU8AE_ZCy.jpg" TargetMode="External"/><Relationship Id="rId259" Type="http://schemas.openxmlformats.org/officeDocument/2006/relationships/hyperlink" Target="https://www.elmundo.es/opinion/2018/12/08/5c0abaebfdddff0f1a8b45d3.html" TargetMode="External"/><Relationship Id="rId466" Type="http://schemas.openxmlformats.org/officeDocument/2006/relationships/hyperlink" Target="https://www.20minutos.es/opiniones/pedro-sanchez-constitucion-herramiento-progreso-3508547/?utm_source=twitter.com&amp;utm_medium=socialshare&amp;utm_campaign=mobile_amp" TargetMode="External"/><Relationship Id="rId673" Type="http://schemas.openxmlformats.org/officeDocument/2006/relationships/hyperlink" Target="https://www.elplural.com/opinion/brexit-tratado-de-utrecht-dos_207474102" TargetMode="External"/><Relationship Id="rId880" Type="http://schemas.openxmlformats.org/officeDocument/2006/relationships/hyperlink" Target="http://bitacoradas.tumblr.com/" TargetMode="External"/><Relationship Id="rId1096" Type="http://schemas.openxmlformats.org/officeDocument/2006/relationships/hyperlink" Target="https://pbs.twimg.com/media/Dt0_AyeWsAE5BCp.jpg" TargetMode="External"/><Relationship Id="rId2147" Type="http://schemas.openxmlformats.org/officeDocument/2006/relationships/hyperlink" Target="https://www.twitch.tv/prototaip55" TargetMode="External"/><Relationship Id="rId2354" Type="http://schemas.openxmlformats.org/officeDocument/2006/relationships/hyperlink" Target="http://www.torrelec.es/" TargetMode="External"/><Relationship Id="rId2561" Type="http://schemas.openxmlformats.org/officeDocument/2006/relationships/hyperlink" Target="https://pbs.twimg.com/media/DtwlzdvUcAA4SdH.jpg" TargetMode="External"/><Relationship Id="rId2799" Type="http://schemas.openxmlformats.org/officeDocument/2006/relationships/hyperlink" Target="http://instagram.com/ramonMLGA" TargetMode="External"/><Relationship Id="rId3100" Type="http://schemas.openxmlformats.org/officeDocument/2006/relationships/hyperlink" Target="http://okdiario.com/espana/2018/12/06/pedro-sanchez-no-forzara-relevo-susana-diaz-dejara-psoe-andaluz-fulmine-3434507" TargetMode="External"/><Relationship Id="rId3405" Type="http://schemas.openxmlformats.org/officeDocument/2006/relationships/hyperlink" Target="http://www.elperiodico.com/es/politica" TargetMode="External"/><Relationship Id="rId119" Type="http://schemas.openxmlformats.org/officeDocument/2006/relationships/hyperlink" Target="https://www.libertaddigital.com/espana/2018-12-08/pedro-sanchez-dice-que-pp-y-cs-no-pueden-ser-pro-europeos-y-apoyarse-en-vox-1276629582/" TargetMode="External"/><Relationship Id="rId326" Type="http://schemas.openxmlformats.org/officeDocument/2006/relationships/hyperlink" Target="http://wp.me/p76pmQ-rw" TargetMode="External"/><Relationship Id="rId533" Type="http://schemas.openxmlformats.org/officeDocument/2006/relationships/hyperlink" Target="https://okdiario.com/espana/cataluna/2018/12/08/sanchez-ofrece-separatistas-reconocer-cataluna-como-nacion-cambio-del-si-presupuestos-3439890" TargetMode="External"/><Relationship Id="rId978" Type="http://schemas.openxmlformats.org/officeDocument/2006/relationships/hyperlink" Target="https://www.mediterraneodigital.com/espana/espana/ridiculo-apoteosico-pedro-sanchez-pide-reformar-la-constitucion-para-incluir-un-articulo-que-ya-existe.html" TargetMode="External"/><Relationship Id="rId1163" Type="http://schemas.openxmlformats.org/officeDocument/2006/relationships/hyperlink" Target="https://pbs.twimg.com/media/Dt0zcNQUUAAiCLz.jpg" TargetMode="External"/><Relationship Id="rId1370" Type="http://schemas.openxmlformats.org/officeDocument/2006/relationships/hyperlink" Target="https://goo.gl/bJ2Mx5" TargetMode="External"/><Relationship Id="rId2007" Type="http://schemas.openxmlformats.org/officeDocument/2006/relationships/hyperlink" Target="https://m.eldiario.es/3245823b_843416123/" TargetMode="External"/><Relationship Id="rId2214" Type="http://schemas.openxmlformats.org/officeDocument/2006/relationships/hyperlink" Target="https://m.eldiario.es/_3245823b" TargetMode="External"/><Relationship Id="rId2659" Type="http://schemas.openxmlformats.org/officeDocument/2006/relationships/hyperlink" Target="https://www.libertaddigital.com/espana/2018-12-06/pedro-sanchez-desconoce-la-constitucion-pide-reformarla-para-incluir-la-igualdad-entre-hombres-y-mujeres-1276629507/" TargetMode="External"/><Relationship Id="rId2866" Type="http://schemas.openxmlformats.org/officeDocument/2006/relationships/hyperlink" Target="https://www.lasprovincias.es/40-aniversario-constitucion/pedro-sanchez-lleva-20181206123919-ntrc.html" TargetMode="External"/><Relationship Id="rId740" Type="http://schemas.openxmlformats.org/officeDocument/2006/relationships/hyperlink" Target="https://www.cope.es/n/306196" TargetMode="External"/><Relationship Id="rId838" Type="http://schemas.openxmlformats.org/officeDocument/2006/relationships/hyperlink" Target="https://pbs.twimg.com/media/Dt10BKVWkAAfv-w.jpg" TargetMode="External"/><Relationship Id="rId1023" Type="http://schemas.openxmlformats.org/officeDocument/2006/relationships/hyperlink" Target="https://twitter.com/MendiMendi1/status/906482698193129472" TargetMode="External"/><Relationship Id="rId1468" Type="http://schemas.openxmlformats.org/officeDocument/2006/relationships/hyperlink" Target="https://www.eldiario.es/politica/Pedro-Sanchez-Congreso-Dia-Constitucion_0_843415844.html" TargetMode="External"/><Relationship Id="rId1675" Type="http://schemas.openxmlformats.org/officeDocument/2006/relationships/hyperlink" Target="https://ift.tt/2RGItwm" TargetMode="External"/><Relationship Id="rId1882" Type="http://schemas.openxmlformats.org/officeDocument/2006/relationships/hyperlink" Target="http://teleindiscreta.es/" TargetMode="External"/><Relationship Id="rId2421" Type="http://schemas.openxmlformats.org/officeDocument/2006/relationships/hyperlink" Target="http://revistaliberal.com/" TargetMode="External"/><Relationship Id="rId2519" Type="http://schemas.openxmlformats.org/officeDocument/2006/relationships/hyperlink" Target="https://www.libertaddigital.com/espana/2018-12-06/pedro-sanchez-descarta-elecciones-en-marzo-pero-abre-la-puerta-a-mayo-1276629489/" TargetMode="External"/><Relationship Id="rId2726" Type="http://schemas.openxmlformats.org/officeDocument/2006/relationships/hyperlink" Target="https://www.eldiario.es/politica/Pedro-Sanchez-Congreso-Dia-Constitucion_0_843415844.html" TargetMode="External"/><Relationship Id="rId600" Type="http://schemas.openxmlformats.org/officeDocument/2006/relationships/hyperlink" Target="https://www.jaherce.com/" TargetMode="External"/><Relationship Id="rId1230" Type="http://schemas.openxmlformats.org/officeDocument/2006/relationships/hyperlink" Target="http://www.terrasenamos.org/o-governo-espanol-admite-a-necesidade-de-reparar-erros-e-inxustizas-graves-cometidas-contra-cuba/" TargetMode="External"/><Relationship Id="rId1328" Type="http://schemas.openxmlformats.org/officeDocument/2006/relationships/hyperlink" Target="https://www.facebook.com/201113023570761/posts/783434332005291/" TargetMode="External"/><Relationship Id="rId1535" Type="http://schemas.openxmlformats.org/officeDocument/2006/relationships/hyperlink" Target="https://www.cope.es/n/306196" TargetMode="External"/><Relationship Id="rId2933" Type="http://schemas.openxmlformats.org/officeDocument/2006/relationships/hyperlink" Target="http://a.msn.com/01/es-es/BBQzFAI?ocid=st" TargetMode="External"/><Relationship Id="rId905" Type="http://schemas.openxmlformats.org/officeDocument/2006/relationships/hyperlink" Target="https://pbs.twimg.com/media/Dt1lPaiW0AAv6W4.jpg" TargetMode="External"/><Relationship Id="rId1742" Type="http://schemas.openxmlformats.org/officeDocument/2006/relationships/hyperlink" Target="https://okdiario.com/espana/2018/12/07/pedro-sanchez-reformar-constitucion-incluir-igualdad-hombres-mujeres-articulo-14-desde-hace-40-anos-3437620" TargetMode="External"/><Relationship Id="rId3195" Type="http://schemas.openxmlformats.org/officeDocument/2006/relationships/hyperlink" Target="http://www.eldiario.es/" TargetMode="External"/><Relationship Id="rId34" Type="http://schemas.openxmlformats.org/officeDocument/2006/relationships/hyperlink" Target="http://ow.ly/kKzy30mUCfm" TargetMode="External"/><Relationship Id="rId1602" Type="http://schemas.openxmlformats.org/officeDocument/2006/relationships/hyperlink" Target="http://www.nazarenolinares.org/" TargetMode="External"/><Relationship Id="rId3055" Type="http://schemas.openxmlformats.org/officeDocument/2006/relationships/hyperlink" Target="http://ow.ly/WlsH30mTa2k" TargetMode="External"/><Relationship Id="rId3262" Type="http://schemas.openxmlformats.org/officeDocument/2006/relationships/hyperlink" Target="https://www.eldiario.es/politica/Pedro-Sanchez-Congreso-Dia-Constitucion_0_843415844.html" TargetMode="External"/><Relationship Id="rId183" Type="http://schemas.openxmlformats.org/officeDocument/2006/relationships/hyperlink" Target="https://twitter.com/arturelpayaso2/status/1071382343846383617" TargetMode="External"/><Relationship Id="rId390" Type="http://schemas.openxmlformats.org/officeDocument/2006/relationships/hyperlink" Target="https://elpais.com/ccaa/2018/12/07/catalunya/1544212738_324067.html?id_externo_rsoc=TW_CC" TargetMode="External"/><Relationship Id="rId1907" Type="http://schemas.openxmlformats.org/officeDocument/2006/relationships/hyperlink" Target="https://www.pp.es/" TargetMode="External"/><Relationship Id="rId2071" Type="http://schemas.openxmlformats.org/officeDocument/2006/relationships/hyperlink" Target="https://pbs.twimg.com/media/Dty3hb6VsAAkO_v.jpg" TargetMode="External"/><Relationship Id="rId3122" Type="http://schemas.openxmlformats.org/officeDocument/2006/relationships/hyperlink" Target="https://twitter.com/EuropeElects/status/1070682026615996416" TargetMode="External"/><Relationship Id="rId250" Type="http://schemas.openxmlformats.org/officeDocument/2006/relationships/hyperlink" Target="https://pbs.twimg.com/media/Dt5fyvnXgAEq3dn.jpg" TargetMode="External"/><Relationship Id="rId488" Type="http://schemas.openxmlformats.org/officeDocument/2006/relationships/hyperlink" Target="http://shr.gs/upPqoVR" TargetMode="External"/><Relationship Id="rId695" Type="http://schemas.openxmlformats.org/officeDocument/2006/relationships/hyperlink" Target="https://youtu.be/0yinR3tV_eU" TargetMode="External"/><Relationship Id="rId2169" Type="http://schemas.openxmlformats.org/officeDocument/2006/relationships/hyperlink" Target="https://pbs.twimg.com/media/DtyDy9SXcAI8Jk1.jpg" TargetMode="External"/><Relationship Id="rId2376" Type="http://schemas.openxmlformats.org/officeDocument/2006/relationships/hyperlink" Target="https://www.eldiario.es/politica/Pedro-Sanchez-reforma-Constitucion-igualdad_0_843416144.html?utm_source=dlvr.it&amp;utm_medium=twitter" TargetMode="External"/><Relationship Id="rId2583" Type="http://schemas.openxmlformats.org/officeDocument/2006/relationships/hyperlink" Target="http://dlvr.it/Qt0nbj" TargetMode="External"/><Relationship Id="rId2790" Type="http://schemas.openxmlformats.org/officeDocument/2006/relationships/hyperlink" Target="https://bit.ly/2Sx3CJn" TargetMode="External"/><Relationship Id="rId3427" Type="http://schemas.openxmlformats.org/officeDocument/2006/relationships/hyperlink" Target="http://antonioromansanchezrodriguez.blogspot.com.es/" TargetMode="External"/><Relationship Id="rId110" Type="http://schemas.openxmlformats.org/officeDocument/2006/relationships/hyperlink" Target="http://www.psoe.es/actualidad/noticias-actualidad/pedro-sanchez-asegura-que-presentara-unos-pge-con-tres-objetivos-que-sean-sostenibles-desde-el-punto-social-medioambiental-y-financiero/" TargetMode="External"/><Relationship Id="rId348" Type="http://schemas.openxmlformats.org/officeDocument/2006/relationships/hyperlink" Target="https://www.esdiario.com/238196932/El-verdadero-CIS-de-Pedro-Sanchez-otro-espectacular-abucheo-en-el-Congreso.html" TargetMode="External"/><Relationship Id="rId555" Type="http://schemas.openxmlformats.org/officeDocument/2006/relationships/hyperlink" Target="http://www.instagram.com/notiwebon" TargetMode="External"/><Relationship Id="rId762" Type="http://schemas.openxmlformats.org/officeDocument/2006/relationships/hyperlink" Target="https://youtu.be/cQNTYvOF1x4" TargetMode="External"/><Relationship Id="rId1185" Type="http://schemas.openxmlformats.org/officeDocument/2006/relationships/hyperlink" Target="https://pbs.twimg.com/media/Dt0rPiZX4AAagMF.jpg" TargetMode="External"/><Relationship Id="rId1392" Type="http://schemas.openxmlformats.org/officeDocument/2006/relationships/hyperlink" Target="https://www.hispanidad.com/cartas-al-director/pedro-sanchez-los-malos-y-los-buenos_12006057_102.html?utm_source=Twitter&amp;utm_medium=Social&amp;utm_content=Post" TargetMode="External"/><Relationship Id="rId2029" Type="http://schemas.openxmlformats.org/officeDocument/2006/relationships/hyperlink" Target="http://youtu.be/6gVn8-ffUF0?a" TargetMode="External"/><Relationship Id="rId2236" Type="http://schemas.openxmlformats.org/officeDocument/2006/relationships/hyperlink" Target="https://www.eldia.es/NACIONAL/2018-12-01/11-Seis-meses-Gobierno-Pedro-Sanchez-fechas.htm" TargetMode="External"/><Relationship Id="rId2443" Type="http://schemas.openxmlformats.org/officeDocument/2006/relationships/hyperlink" Target="https://www.esdiario.com/238196932/El-verdadero-CIS-de-Pedro-Sanchez-otro-espectacular-abucheo-en-el-Congreso.html" TargetMode="External"/><Relationship Id="rId2650" Type="http://schemas.openxmlformats.org/officeDocument/2006/relationships/hyperlink" Target="https://www.libertaddigital.com/espana/2018-12-06/pedro-sanchez-desconoce-la-constitucion-pide-reformarla-para-incluir-la-igualdad-entre-hombres-y-mujeres-1276629507/" TargetMode="External"/><Relationship Id="rId2888" Type="http://schemas.openxmlformats.org/officeDocument/2006/relationships/hyperlink" Target="https://blogs.elconfidencial.com/espana/desde-fuera/2018-12-06/elecciones-andalucia-pedro-sanchez-susana-diaz-culpable-hundimiento-titanic-socialista_1688542/?utm_source=twitter&amp;utm_medium=social&amp;utm_campaign=BotoneraWeb" TargetMode="External"/><Relationship Id="rId208" Type="http://schemas.openxmlformats.org/officeDocument/2006/relationships/hyperlink" Target="https://twitter.com/yosoynaranjito_/status/1071351219535396864" TargetMode="External"/><Relationship Id="rId415" Type="http://schemas.openxmlformats.org/officeDocument/2006/relationships/hyperlink" Target="https://www.eleconomista.es/politica/noticias/9560918/12/18/El-socialismo-entra-en-panico-y-Moncloa-decide-agotar-la-legislatura.html" TargetMode="External"/><Relationship Id="rId622" Type="http://schemas.openxmlformats.org/officeDocument/2006/relationships/hyperlink" Target="http://mundosport.ml/mundial-2030-espana-pedro-sanchez-ofrece-a-marruecos-una-oferta-conjunta-con-portugal-para-la-copa-mundial-2030/" TargetMode="External"/><Relationship Id="rId1045" Type="http://schemas.openxmlformats.org/officeDocument/2006/relationships/hyperlink" Target="https://musicanddancelegazcue.blogspot.com/" TargetMode="External"/><Relationship Id="rId1252" Type="http://schemas.openxmlformats.org/officeDocument/2006/relationships/hyperlink" Target="http://epmundo.com/espana" TargetMode="External"/><Relationship Id="rId1697" Type="http://schemas.openxmlformats.org/officeDocument/2006/relationships/hyperlink" Target="http://tinyurl.com/yd5gkqqh" TargetMode="External"/><Relationship Id="rId2303" Type="http://schemas.openxmlformats.org/officeDocument/2006/relationships/hyperlink" Target="https://pbs.twimg.com/media/DtxFp1dX4AYJxWT.jpg" TargetMode="External"/><Relationship Id="rId2510" Type="http://schemas.openxmlformats.org/officeDocument/2006/relationships/hyperlink" Target="https://pbs.twimg.com/media/Dtws0x5W0AAAYM0.jpg" TargetMode="External"/><Relationship Id="rId2748" Type="http://schemas.openxmlformats.org/officeDocument/2006/relationships/hyperlink" Target="http://elblogdechechu.wordpress.com/" TargetMode="External"/><Relationship Id="rId2955" Type="http://schemas.openxmlformats.org/officeDocument/2006/relationships/hyperlink" Target="https://pbs.twimg.com/media/Dtv1C6bX4AAyqjW.jpg" TargetMode="External"/><Relationship Id="rId927" Type="http://schemas.openxmlformats.org/officeDocument/2006/relationships/hyperlink" Target="https://pbs.twimg.com/media/Dt1f9zeX4AANroY.jpg" TargetMode="External"/><Relationship Id="rId1112" Type="http://schemas.openxmlformats.org/officeDocument/2006/relationships/hyperlink" Target="https://www.libertaddigital.com/espana/2018-12-06/pedro-sanchez-desconoce-la-constitucion-pide-reformarla-para-incluir-la-igualdad-entre-hombres-y-mujeres-1276629507/" TargetMode="External"/><Relationship Id="rId1557" Type="http://schemas.openxmlformats.org/officeDocument/2006/relationships/hyperlink" Target="https://pbs.twimg.com/media/Dtz7z19XcAAtadb.jpg" TargetMode="External"/><Relationship Id="rId1764" Type="http://schemas.openxmlformats.org/officeDocument/2006/relationships/hyperlink" Target="https://elobrero.es/opinion/item/22079-tratado-de-utrecht-dos.html" TargetMode="External"/><Relationship Id="rId1971" Type="http://schemas.openxmlformats.org/officeDocument/2006/relationships/hyperlink" Target="https://www.eldiario.es/_3245823b" TargetMode="External"/><Relationship Id="rId2608" Type="http://schemas.openxmlformats.org/officeDocument/2006/relationships/hyperlink" Target="https://www.eldiario.es/politica/Pedro-Sanchez-reforma-Constitucion-igualdad_0_843416144.html" TargetMode="External"/><Relationship Id="rId2815" Type="http://schemas.openxmlformats.org/officeDocument/2006/relationships/hyperlink" Target="https://www.libertaddigital.com/espana/2018-12-06/pedro-sanchez-descarta-elecciones-en-marzo-pero-abre-la-puerta-a-mayo-1276629489/" TargetMode="External"/><Relationship Id="rId56" Type="http://schemas.openxmlformats.org/officeDocument/2006/relationships/hyperlink" Target="https://www.ciudadanos-cs.org/" TargetMode="External"/><Relationship Id="rId1417" Type="http://schemas.openxmlformats.org/officeDocument/2006/relationships/hyperlink" Target="https://navarra.elespanol.com/articulo/politica/socialistas-navarros-critican-upn-cuestionar-vox-solo-tema-autonomias/20181207122231235069.html&amp;utm_source=social&amp;utm_medium=twitter&amp;utm_campaign=share_button" TargetMode="External"/><Relationship Id="rId1624" Type="http://schemas.openxmlformats.org/officeDocument/2006/relationships/hyperlink" Target="http://www.sajimes.blogspot.com/" TargetMode="External"/><Relationship Id="rId1831" Type="http://schemas.openxmlformats.org/officeDocument/2006/relationships/hyperlink" Target="http://bit.ly/EP_Venezuela" TargetMode="External"/><Relationship Id="rId3077" Type="http://schemas.openxmlformats.org/officeDocument/2006/relationships/hyperlink" Target="https://www.elcorreo.com/40-aniversario-constitucion/pedro-sanchez-lleva-20181206123919-ntrc.html" TargetMode="External"/><Relationship Id="rId3284" Type="http://schemas.openxmlformats.org/officeDocument/2006/relationships/hyperlink" Target="https://www.elicebergdemadrid.com/nacional/pedro-sanchez-explica-la-necesidad-de-adaptar-la-constitucion/" TargetMode="External"/><Relationship Id="rId1929" Type="http://schemas.openxmlformats.org/officeDocument/2006/relationships/hyperlink" Target="https://okdiario.com/espana/2018/12/07/pedro-sanchez-reformar-constitucion-incluir-igualdad-hombres-mujeres-articulo-14-desde-hace-40-anos-3437620?utm_campaign=ok&amp;utm_medium=Social&amp;utm_source=Twitter" TargetMode="External"/><Relationship Id="rId2093" Type="http://schemas.openxmlformats.org/officeDocument/2006/relationships/hyperlink" Target="https://www.eldiario.es/politica/Pedro-Sanchez-Casado-Rivera-electoral_0_843416123.html" TargetMode="External"/><Relationship Id="rId2398" Type="http://schemas.openxmlformats.org/officeDocument/2006/relationships/hyperlink" Target="http://epmundo.com/2018/descontentos-asi-recibieron-a-pedro-sanchez-en-el-congreso-video/?utm_source=twitter&amp;utm_medium=social&amp;utm_campaign=ReviveOldPost" TargetMode="External"/><Relationship Id="rId3144" Type="http://schemas.openxmlformats.org/officeDocument/2006/relationships/hyperlink" Target="https://www.ideal.es/40-aniversario-constitucion/pedro-sanchez-lleva-20181206123919-ntrc.html" TargetMode="External"/><Relationship Id="rId3351" Type="http://schemas.openxmlformats.org/officeDocument/2006/relationships/hyperlink" Target="http://linkedin.com/in/dgpastor" TargetMode="External"/><Relationship Id="rId272" Type="http://schemas.openxmlformats.org/officeDocument/2006/relationships/hyperlink" Target="https://youtu.be/O5jm3v4p0p0" TargetMode="External"/><Relationship Id="rId577" Type="http://schemas.openxmlformats.org/officeDocument/2006/relationships/hyperlink" Target="https://okdiario.com/economia/2018/12/08/italia-credibilidad-presupuestos-pedro-sanchez-denunciar-ue-trato-discriminatorio-3437675" TargetMode="External"/><Relationship Id="rId2160" Type="http://schemas.openxmlformats.org/officeDocument/2006/relationships/hyperlink" Target="http://abc.es/" TargetMode="External"/><Relationship Id="rId2258" Type="http://schemas.openxmlformats.org/officeDocument/2006/relationships/hyperlink" Target="https://elpais.com/politica/2018/12/06/actualidad/1544108922_690929.html" TargetMode="External"/><Relationship Id="rId3004" Type="http://schemas.openxmlformats.org/officeDocument/2006/relationships/hyperlink" Target="http://www.sumarium.es/" TargetMode="External"/><Relationship Id="rId3211" Type="http://schemas.openxmlformats.org/officeDocument/2006/relationships/hyperlink" Target="https://pbs.twimg.com/media/DtvWZV-VAAYr0xH.jpg" TargetMode="External"/><Relationship Id="rId132" Type="http://schemas.openxmlformats.org/officeDocument/2006/relationships/hyperlink" Target="http://ver.20m.es/jw02d3" TargetMode="External"/><Relationship Id="rId784" Type="http://schemas.openxmlformats.org/officeDocument/2006/relationships/hyperlink" Target="https://m.eldiario.es/_3245823b" TargetMode="External"/><Relationship Id="rId991" Type="http://schemas.openxmlformats.org/officeDocument/2006/relationships/hyperlink" Target="https://pbs.twimg.com/media/Dt08VPjXQAAldBB.jpg" TargetMode="External"/><Relationship Id="rId1067" Type="http://schemas.openxmlformats.org/officeDocument/2006/relationships/hyperlink" Target="https://elpais.com/politica/2018/12/07/actualidad/1544192692_171557.html?id_externo_rsoc=TW_CC" TargetMode="External"/><Relationship Id="rId2020" Type="http://schemas.openxmlformats.org/officeDocument/2006/relationships/hyperlink" Target="https://binged.it/2E61dkX" TargetMode="External"/><Relationship Id="rId2465" Type="http://schemas.openxmlformats.org/officeDocument/2006/relationships/hyperlink" Target="http://www.multiforo.eu/" TargetMode="External"/><Relationship Id="rId2672" Type="http://schemas.openxmlformats.org/officeDocument/2006/relationships/hyperlink" Target="https://www.20minutos.es/noticia/3510387/0/abucheos-pedro-sanchez-congreso-aniversario-constitucion/?utm_source=twitter.com&amp;utm_medium=socialshare&amp;utm_campaign=mobile_amp" TargetMode="External"/><Relationship Id="rId3309" Type="http://schemas.openxmlformats.org/officeDocument/2006/relationships/hyperlink" Target="https://www.elconfidencialdigital.com/blog/jose-apezarena/pedro-sanchez-saca-patita-antimonarquica/20181204175405118950.html" TargetMode="External"/><Relationship Id="rId437" Type="http://schemas.openxmlformats.org/officeDocument/2006/relationships/hyperlink" Target="https://www.libertaddigital.com/espana/2018-12-06/pedro-sanchez-desconoce-la-constitucion-pide-reformarla-para-incluir-la-igualdad-entre-hombres-y-mujeres-1276629507/amp.html?__twitter_impression=true" TargetMode="External"/><Relationship Id="rId644" Type="http://schemas.openxmlformats.org/officeDocument/2006/relationships/hyperlink" Target="http://epmundo.com/2018/el-bombazo-que-lanzo-pedro-sanchez-sobre-las-elecciones-generales/" TargetMode="External"/><Relationship Id="rId851" Type="http://schemas.openxmlformats.org/officeDocument/2006/relationships/hyperlink" Target="https://www.cope.es/n/306196" TargetMode="External"/><Relationship Id="rId1274" Type="http://schemas.openxmlformats.org/officeDocument/2006/relationships/hyperlink" Target="http://www.linares28.es/" TargetMode="External"/><Relationship Id="rId1481" Type="http://schemas.openxmlformats.org/officeDocument/2006/relationships/hyperlink" Target="https://www.cope.es/n/306196" TargetMode="External"/><Relationship Id="rId1579" Type="http://schemas.openxmlformats.org/officeDocument/2006/relationships/hyperlink" Target="https://pbs.twimg.com/media/Dtz76hwWwAAY6G_.jpg" TargetMode="External"/><Relationship Id="rId2118" Type="http://schemas.openxmlformats.org/officeDocument/2006/relationships/hyperlink" Target="http://picandovoy.blogspot.com/" TargetMode="External"/><Relationship Id="rId2325" Type="http://schemas.openxmlformats.org/officeDocument/2006/relationships/hyperlink" Target="https://www.abc.es/espana/abci-pedro-sanchez-impulso-constitucional-para-cambio-epoca-201812060240_noticia.html" TargetMode="External"/><Relationship Id="rId2532" Type="http://schemas.openxmlformats.org/officeDocument/2006/relationships/hyperlink" Target="https://pbs.twimg.com/media/DtwpvYIXgAAiVnB.jpg" TargetMode="External"/><Relationship Id="rId2977" Type="http://schemas.openxmlformats.org/officeDocument/2006/relationships/hyperlink" Target="https://twitter.com/pablocasado_/status/1070714511362002945" TargetMode="External"/><Relationship Id="rId504" Type="http://schemas.openxmlformats.org/officeDocument/2006/relationships/hyperlink" Target="https://twitter.com/sanchezcastejon/status/1070736196228317184" TargetMode="External"/><Relationship Id="rId711" Type="http://schemas.openxmlformats.org/officeDocument/2006/relationships/hyperlink" Target="https://www.lainformacion.com/economia-negocios-y-finanzas/laboral/sanchez-decreto-reforma-laboral-empresarios-ceoe/6445847" TargetMode="External"/><Relationship Id="rId949" Type="http://schemas.openxmlformats.org/officeDocument/2006/relationships/hyperlink" Target="http://textosconletras.tumblr.com/" TargetMode="External"/><Relationship Id="rId1134" Type="http://schemas.openxmlformats.org/officeDocument/2006/relationships/hyperlink" Target="https://www.libertaddigital.com/espana/2018-12-07/mitin-contra-vox-de-celaa-desde-moncloa-da-instrucciones-a-pp-y-cs-para-que-no-pacten-con-ellos-1276629533/" TargetMode="External"/><Relationship Id="rId1341" Type="http://schemas.openxmlformats.org/officeDocument/2006/relationships/hyperlink" Target="https://www.youtube.com/attribution_link?a=VTGHpY9lp7g&amp;u=%2Fwatch%3Fv%3DfNkyCYCTeWE%26feature%3Dshare" TargetMode="External"/><Relationship Id="rId1786" Type="http://schemas.openxmlformats.org/officeDocument/2006/relationships/hyperlink" Target="https://www.mediterraneodigital.com/espana/espana/ridiculo-apoteosico-pedro-sanchez-pide-reformar-la-constitucion-para-incluir-un-articulo-que-ya-existe.html" TargetMode="External"/><Relationship Id="rId1993" Type="http://schemas.openxmlformats.org/officeDocument/2006/relationships/hyperlink" Target="https://www.eldiario.es/politica/Pedro-Sanchez-Casado-Rivera-electoral_0_843416123.html" TargetMode="External"/><Relationship Id="rId2837" Type="http://schemas.openxmlformats.org/officeDocument/2006/relationships/hyperlink" Target="https://www.facebook.com/exiliados.extremoduro" TargetMode="External"/><Relationship Id="rId78" Type="http://schemas.openxmlformats.org/officeDocument/2006/relationships/hyperlink" Target="https://www.abc.es/espana/abci-pedro-sanchez-alerta-auge-extrema-derecha-europa-201812081647_noticia.html" TargetMode="External"/><Relationship Id="rId809" Type="http://schemas.openxmlformats.org/officeDocument/2006/relationships/hyperlink" Target="http://pic.twitter.com/Lcmt9lfLv1" TargetMode="External"/><Relationship Id="rId1201" Type="http://schemas.openxmlformats.org/officeDocument/2006/relationships/hyperlink" Target="https://www.galiciapress.es/texto-diario/mostrar/1274118/ciudadanos-galicia-desvincula-posible-candidatura-pachi-vazquez-ourense" TargetMode="External"/><Relationship Id="rId1439" Type="http://schemas.openxmlformats.org/officeDocument/2006/relationships/hyperlink" Target="https://www.facebook.com/1299968942/posts/10213846245012530/" TargetMode="External"/><Relationship Id="rId1646" Type="http://schemas.openxmlformats.org/officeDocument/2006/relationships/hyperlink" Target="http://semanasanta.lynares.com/" TargetMode="External"/><Relationship Id="rId1853" Type="http://schemas.openxmlformats.org/officeDocument/2006/relationships/hyperlink" Target="http://blogmiyares.blogspot.com/" TargetMode="External"/><Relationship Id="rId2904" Type="http://schemas.openxmlformats.org/officeDocument/2006/relationships/hyperlink" Target="http://ver.20m.es/_jw_w1" TargetMode="External"/><Relationship Id="rId3099" Type="http://schemas.openxmlformats.org/officeDocument/2006/relationships/hyperlink" Target="https://pbs.twimg.com/media/DtvEslwXcAENhQJ.jpg" TargetMode="External"/><Relationship Id="rId1506" Type="http://schemas.openxmlformats.org/officeDocument/2006/relationships/hyperlink" Target="http://okdiario.com/espana/2018/12/07/pedro-sanchez-reformar-constitucion-incluir-igualdad-hombres-mujeres-articulo-14-desde-hace-40-anos-3437620" TargetMode="External"/><Relationship Id="rId1713" Type="http://schemas.openxmlformats.org/officeDocument/2006/relationships/hyperlink" Target="https://www.abc.es/espana/catalunya/politica/abci-crisis-gobierno-quim-torra-cargas-mossos-contra-201812071046_noticia.html" TargetMode="External"/><Relationship Id="rId1920" Type="http://schemas.openxmlformats.org/officeDocument/2006/relationships/hyperlink" Target="https://m.eldiario.es/_32458250" TargetMode="External"/><Relationship Id="rId3166" Type="http://schemas.openxmlformats.org/officeDocument/2006/relationships/hyperlink" Target="https://www.libertaddigital.com/espana/2018-12-06/pedro-sanchez-descarta-elecciones-en-marzo-pero-abre-la-puerta-a-mayo-1276629489/" TargetMode="External"/><Relationship Id="rId3373" Type="http://schemas.openxmlformats.org/officeDocument/2006/relationships/hyperlink" Target="http://www.multiforo.eu/" TargetMode="External"/><Relationship Id="rId294" Type="http://schemas.openxmlformats.org/officeDocument/2006/relationships/hyperlink" Target="https://www.facebook.com/pages/Fans-de-Nata-Crespo/175113679168414?ref=stream" TargetMode="External"/><Relationship Id="rId2182" Type="http://schemas.openxmlformats.org/officeDocument/2006/relationships/hyperlink" Target="http://www.cambio16.com/" TargetMode="External"/><Relationship Id="rId3026" Type="http://schemas.openxmlformats.org/officeDocument/2006/relationships/hyperlink" Target="http://www.elnacional.cat/es/politica/pedro-sanchez-partidos-independentistas_332241_102.html" TargetMode="External"/><Relationship Id="rId3233" Type="http://schemas.openxmlformats.org/officeDocument/2006/relationships/hyperlink" Target="http://www.bcnviafora.com/" TargetMode="External"/><Relationship Id="rId154" Type="http://schemas.openxmlformats.org/officeDocument/2006/relationships/hyperlink" Target="http://www.psoe.es/actualidad/noticias-actualidad/pedro-sanchez-asegura-que-presentara-unos-pge-con-tres-objetivos-que-sean-sostenibles-desde-el-punto-social-medioambiental-y-financiero/" TargetMode="External"/><Relationship Id="rId361" Type="http://schemas.openxmlformats.org/officeDocument/2006/relationships/hyperlink" Target="https://twitter.com/rosadiezglez/status/1071051624091656192" TargetMode="External"/><Relationship Id="rId599" Type="http://schemas.openxmlformats.org/officeDocument/2006/relationships/hyperlink" Target="https://m.eldiario.es/3245823b_843416123/" TargetMode="External"/><Relationship Id="rId2042" Type="http://schemas.openxmlformats.org/officeDocument/2006/relationships/hyperlink" Target="https://bit.ly/2L0yfnZ" TargetMode="External"/><Relationship Id="rId2487" Type="http://schemas.openxmlformats.org/officeDocument/2006/relationships/hyperlink" Target="http://gk67dm.blogspot.com.es/" TargetMode="External"/><Relationship Id="rId2694" Type="http://schemas.openxmlformats.org/officeDocument/2006/relationships/hyperlink" Target="https://m.eldiario.es/_32458250" TargetMode="External"/><Relationship Id="rId459" Type="http://schemas.openxmlformats.org/officeDocument/2006/relationships/hyperlink" Target="https://okdiario.com/espana/cataluna/2018/12/08/sanchez-ofrece-separatistas-reconocer-cataluna-como-nacion-cambio-del-si-presupuestos-3439890?utm_campaign=ok&amp;utm_medium=Social&amp;utm_source=Twitter" TargetMode="External"/><Relationship Id="rId666" Type="http://schemas.openxmlformats.org/officeDocument/2006/relationships/hyperlink" Target="http://www.radiohuancavilca.com.ec/" TargetMode="External"/><Relationship Id="rId873" Type="http://schemas.openxmlformats.org/officeDocument/2006/relationships/hyperlink" Target="http://shr.gs/k83WNfQ" TargetMode="External"/><Relationship Id="rId1089" Type="http://schemas.openxmlformats.org/officeDocument/2006/relationships/hyperlink" Target="http://riazordeportivo.blogspot.com.es/" TargetMode="External"/><Relationship Id="rId1296" Type="http://schemas.openxmlformats.org/officeDocument/2006/relationships/hyperlink" Target="https://pbs.twimg.com/media/Dt0fCfLXcAI-o_f.jpg" TargetMode="External"/><Relationship Id="rId2347" Type="http://schemas.openxmlformats.org/officeDocument/2006/relationships/hyperlink" Target="https://m.eldiario.es/_3245823b" TargetMode="External"/><Relationship Id="rId2554" Type="http://schemas.openxmlformats.org/officeDocument/2006/relationships/hyperlink" Target="https://www.elconfidencial.com/espana/2018-12-06/pedro-sanchez-adelanto-electoral-marzo-seguiremos-trabajando-gobernando_1690978/?utm_source=twitter&amp;utm_medium=social&amp;utm_campaign=BotoneraWeb" TargetMode="External"/><Relationship Id="rId2999" Type="http://schemas.openxmlformats.org/officeDocument/2006/relationships/hyperlink" Target="https://www.europapress.es/nacional/noticia-pedro-sanchez-ve-mas-probable-consorcio-derechas-andalucia-repeticion-elecciones-20181206153806.html" TargetMode="External"/><Relationship Id="rId3300" Type="http://schemas.openxmlformats.org/officeDocument/2006/relationships/hyperlink" Target="http://javier-montero-perez.webnode.es/" TargetMode="External"/><Relationship Id="rId221" Type="http://schemas.openxmlformats.org/officeDocument/2006/relationships/hyperlink" Target="https://pbs.twimg.com/media/Dt5kVkjXcAEZpu-.jpg" TargetMode="External"/><Relationship Id="rId319" Type="http://schemas.openxmlformats.org/officeDocument/2006/relationships/hyperlink" Target="http://pic.twitter.com/S4JX4jaPCm" TargetMode="External"/><Relationship Id="rId526" Type="http://schemas.openxmlformats.org/officeDocument/2006/relationships/hyperlink" Target="https://www.libertaddigital.com/espana/2018-12-06/pedro-sanchez-desconoce-la-constitucion-pide-reformarla-para-incluir-la-igualdad-entre-hombres-y-mujeres-1276629507/" TargetMode="External"/><Relationship Id="rId1156" Type="http://schemas.openxmlformats.org/officeDocument/2006/relationships/hyperlink" Target="https://amp.ondacero.es/deportes/futbol/pedro-sanchez-acudira-river-boca-copa-libertadores-santiago-bernabeu_201812075c0a6c410cf21af4301e1cd5.html?__twitter_impression=true" TargetMode="External"/><Relationship Id="rId1363" Type="http://schemas.openxmlformats.org/officeDocument/2006/relationships/hyperlink" Target="http://www.paceglobalstrategies.com/" TargetMode="External"/><Relationship Id="rId2207" Type="http://schemas.openxmlformats.org/officeDocument/2006/relationships/hyperlink" Target="http://lrzn.es/ktuba2" TargetMode="External"/><Relationship Id="rId2761" Type="http://schemas.openxmlformats.org/officeDocument/2006/relationships/hyperlink" Target="http://tinyurl.com/ydeeeevn" TargetMode="External"/><Relationship Id="rId2859" Type="http://schemas.openxmlformats.org/officeDocument/2006/relationships/hyperlink" Target="https://www.futbol-addict.com/es-co/article/atletico-nacional/demanda-para-nacional-club-pedro-sellares-pide-por-davinson-sanchez/5c095cfb9451e7219d100199?utm_campaign=post-auto&amp;utm_medium=twitter&amp;utm_source=verdolagas-addict" TargetMode="External"/><Relationship Id="rId733" Type="http://schemas.openxmlformats.org/officeDocument/2006/relationships/hyperlink" Target="https://twitter.com/hospederiavc/status/1071153677245796352" TargetMode="External"/><Relationship Id="rId940" Type="http://schemas.openxmlformats.org/officeDocument/2006/relationships/hyperlink" Target="http://www.sabor809.com/" TargetMode="External"/><Relationship Id="rId1016" Type="http://schemas.openxmlformats.org/officeDocument/2006/relationships/hyperlink" Target="http://bit.ly/2rrGQr8" TargetMode="External"/><Relationship Id="rId1570" Type="http://schemas.openxmlformats.org/officeDocument/2006/relationships/hyperlink" Target="https://pbs.twimg.com/media/Dtz_LQWX4AAudiI.jpg" TargetMode="External"/><Relationship Id="rId1668" Type="http://schemas.openxmlformats.org/officeDocument/2006/relationships/hyperlink" Target="https://ift.tt/2RGItwm" TargetMode="External"/><Relationship Id="rId1875" Type="http://schemas.openxmlformats.org/officeDocument/2006/relationships/hyperlink" Target="https://www.libremercado.com/2018-12-07/el-populismo-de-pedro-sanchez-se-extiende-al-sector-energetico-1276629287/" TargetMode="External"/><Relationship Id="rId2414" Type="http://schemas.openxmlformats.org/officeDocument/2006/relationships/hyperlink" Target="https://www.eldiario.es/politica/Pedro-Sanchez-Casado-Rivera-electoral_0_843416123.html" TargetMode="External"/><Relationship Id="rId2621" Type="http://schemas.openxmlformats.org/officeDocument/2006/relationships/hyperlink" Target="http://www.libertaddigital.com/" TargetMode="External"/><Relationship Id="rId2719" Type="http://schemas.openxmlformats.org/officeDocument/2006/relationships/hyperlink" Target="https://goo.gl/3vcmVH?mxe62=2667878735" TargetMode="External"/><Relationship Id="rId800" Type="http://schemas.openxmlformats.org/officeDocument/2006/relationships/hyperlink" Target="https://elpais.com/politica/2018/12/06/actualidad/1544108922_690929.html" TargetMode="External"/><Relationship Id="rId1223" Type="http://schemas.openxmlformats.org/officeDocument/2006/relationships/hyperlink" Target="https://www.libertaddigital.com/espana/2018-12-06/pedro-sanchez-desconoce-la-constitucion-pide-reformarla-para-incluir-la-igualdad-entre-hombres-y-mujeres-1276629507/" TargetMode="External"/><Relationship Id="rId1430" Type="http://schemas.openxmlformats.org/officeDocument/2006/relationships/hyperlink" Target="https://www.antena3.com/noticias/deportes/" TargetMode="External"/><Relationship Id="rId1528" Type="http://schemas.openxmlformats.org/officeDocument/2006/relationships/hyperlink" Target="https://pbs.twimg.com/media/Dt0DXGSUcAA9GAs.jpg" TargetMode="External"/><Relationship Id="rId2926" Type="http://schemas.openxmlformats.org/officeDocument/2006/relationships/hyperlink" Target="http://veoinfo.com/" TargetMode="External"/><Relationship Id="rId3090" Type="http://schemas.openxmlformats.org/officeDocument/2006/relationships/hyperlink" Target="https://www.lavanguardia.com/politica/20181206/453397537702/pedro-sanchez-elecciones-reunion-quim-torra-21-de-diciembre.html?utm_source=webpush&amp;utm_medium=notification&amp;utm_campaign=ultima_hora,politica&amp;utm_content=sanchez_aleja_el_calendario_electoral_y_pedira_una_reunion_con_torra_el_21-d&amp;utm_term=20181206&amp;utm_campaign=botones_sociales&amp;utm_medium=social&amp;utm_source=twitter" TargetMode="External"/><Relationship Id="rId1735" Type="http://schemas.openxmlformats.org/officeDocument/2006/relationships/hyperlink" Target="https://youtu.be/C4hpa5dCKAo" TargetMode="External"/><Relationship Id="rId1942" Type="http://schemas.openxmlformats.org/officeDocument/2006/relationships/hyperlink" Target="http://okdiario.com/espana/2018/12/07/pedro-sanchez-reformar-constitucion-incluir-igualdad-hombres-mujeres-articulo-14-desde-hace-40-anos-3437620" TargetMode="External"/><Relationship Id="rId3188" Type="http://schemas.openxmlformats.org/officeDocument/2006/relationships/hyperlink" Target="https://pbs.twimg.com/media/DtvZLGnXQAAuCMq.jpg" TargetMode="External"/><Relationship Id="rId3395" Type="http://schemas.openxmlformats.org/officeDocument/2006/relationships/hyperlink" Target="https://www.20minutos.es/noticia/3510387/0/abucheos-pedro-sanchez-congreso-aniversario-constitucion/?utm_source=twitter.com&amp;utm_medium=socialshare&amp;utm_campaign=mobile_amp" TargetMode="External"/><Relationship Id="rId27" Type="http://schemas.openxmlformats.org/officeDocument/2006/relationships/hyperlink" Target="https://pbs.twimg.com/media/Dt5lOywWoAEoXJV.jpg" TargetMode="External"/><Relationship Id="rId1802" Type="http://schemas.openxmlformats.org/officeDocument/2006/relationships/hyperlink" Target="https://www.lavanguardia.com/economia/20181207/453403582708/deficit-gobierno-presupuestos-pedro-sanchez-consejo-de-ministros.html?utm_source=twitter_lv&amp;utm_medium=social" TargetMode="External"/><Relationship Id="rId3048" Type="http://schemas.openxmlformats.org/officeDocument/2006/relationships/hyperlink" Target="https://diariopatriota.com/pedro-sanchez-acuerda-con-marruecos-pagar-los-estudios-a-los-estudiantes-marroquies/" TargetMode="External"/><Relationship Id="rId3255" Type="http://schemas.openxmlformats.org/officeDocument/2006/relationships/hyperlink" Target="https://pbs.twimg.com/media/DtvPWMUU8AE2dW8.jpg" TargetMode="External"/><Relationship Id="rId176" Type="http://schemas.openxmlformats.org/officeDocument/2006/relationships/hyperlink" Target="http://epmundo.com/" TargetMode="External"/><Relationship Id="rId383" Type="http://schemas.openxmlformats.org/officeDocument/2006/relationships/hyperlink" Target="https://blogs.elconfidencial.com/mundo/tribuna-internacional/2018-12-05/que-hay-detras-acuerdo-pedro-sanchez-xi-jinping_1683722/?utm_source=twitter&amp;utm_medium=social&amp;utm_campaign=BotoneraWeb" TargetMode="External"/><Relationship Id="rId590" Type="http://schemas.openxmlformats.org/officeDocument/2006/relationships/hyperlink" Target="https://ift.tt/2L2cc0r" TargetMode="External"/><Relationship Id="rId2064" Type="http://schemas.openxmlformats.org/officeDocument/2006/relationships/hyperlink" Target="http://flip.it/XckeBQ" TargetMode="External"/><Relationship Id="rId2271" Type="http://schemas.openxmlformats.org/officeDocument/2006/relationships/hyperlink" Target="https://www.facebook.com/josealberto.rodriguezarroyo.9" TargetMode="External"/><Relationship Id="rId3115" Type="http://schemas.openxmlformats.org/officeDocument/2006/relationships/hyperlink" Target="https://elpais.com/elpais/2017/04/01/opinion/1491042198_714238.html?id_externo_rsoc=TW_CC" TargetMode="External"/><Relationship Id="rId3322" Type="http://schemas.openxmlformats.org/officeDocument/2006/relationships/hyperlink" Target="https://blogs.elconfidencial.com/espana/desde-fuera/2018-12-06/elecciones-andalucia-pedro-sanchez-susana-diaz-culpable-hundimiento-titanic-socialista_1688542/?utm_source=twitter&amp;utm_medium=social&amp;utm_campaign=ECDiarioManual" TargetMode="External"/><Relationship Id="rId243" Type="http://schemas.openxmlformats.org/officeDocument/2006/relationships/hyperlink" Target="https://m.facebook.com/?_rdr" TargetMode="External"/><Relationship Id="rId450" Type="http://schemas.openxmlformats.org/officeDocument/2006/relationships/hyperlink" Target="https://cronicaglobal.elespanol.com/politica/radicales-torra-ocuparan-violencia-parlament-palau-21d_205293_102.html" TargetMode="External"/><Relationship Id="rId688" Type="http://schemas.openxmlformats.org/officeDocument/2006/relationships/hyperlink" Target="http://quemandorueda.net/" TargetMode="External"/><Relationship Id="rId895" Type="http://schemas.openxmlformats.org/officeDocument/2006/relationships/hyperlink" Target="https://casoaislado.com/pacto-migratorio-firmara-sanchez-marrakech-considerara-delito-criticar-la-inmigracion-cerrara-los-medios-informen-las-criticas/" TargetMode="External"/><Relationship Id="rId1080" Type="http://schemas.openxmlformats.org/officeDocument/2006/relationships/hyperlink" Target="https://youtu.be/OBEluUwFIu0" TargetMode="External"/><Relationship Id="rId2131" Type="http://schemas.openxmlformats.org/officeDocument/2006/relationships/hyperlink" Target="https://pbs.twimg.com/media/DtyfJ67U0AA1gZ9.jpg" TargetMode="External"/><Relationship Id="rId2369" Type="http://schemas.openxmlformats.org/officeDocument/2006/relationships/hyperlink" Target="https://www.elconfidencial.com/espana/2018-12-06/pedro-sanchez-constitucion-pitos-abucheos-afinsa-forum-filatelico_1690530/?utm_source=twitter&amp;utm_medium=social&amp;utm_campaign=BotoneraWeb" TargetMode="External"/><Relationship Id="rId2576" Type="http://schemas.openxmlformats.org/officeDocument/2006/relationships/hyperlink" Target="http://paper.li/wizfun/1315752719" TargetMode="External"/><Relationship Id="rId2783" Type="http://schemas.openxmlformats.org/officeDocument/2006/relationships/hyperlink" Target="https://okdiario.com/espana/2018/12/06/pedro-sanchez-no-forzara-relevo-susana-diaz-dejara-psoe-andaluz-fulmine-3434507?utm_campaign=newsletter-6-diciembre&amp;utm_medium=email&amp;utm_source=acumbamail" TargetMode="External"/><Relationship Id="rId2990" Type="http://schemas.openxmlformats.org/officeDocument/2006/relationships/hyperlink" Target="http://www.sumarium.es/" TargetMode="External"/><Relationship Id="rId103" Type="http://schemas.openxmlformats.org/officeDocument/2006/relationships/hyperlink" Target="http://lavozdegalicia.es/" TargetMode="External"/><Relationship Id="rId310" Type="http://schemas.openxmlformats.org/officeDocument/2006/relationships/hyperlink" Target="http://pic.twitter.com/01hthT81Eq" TargetMode="External"/><Relationship Id="rId548" Type="http://schemas.openxmlformats.org/officeDocument/2006/relationships/hyperlink" Target="https://pbs.twimg.com/media/Dt4UNRgW0AEscg2.jpg" TargetMode="External"/><Relationship Id="rId755" Type="http://schemas.openxmlformats.org/officeDocument/2006/relationships/hyperlink" Target="https://youtu.be/PQjOvz4vkvo" TargetMode="External"/><Relationship Id="rId962" Type="http://schemas.openxmlformats.org/officeDocument/2006/relationships/hyperlink" Target="https://www.20minutos.es/noticia/3511142/0/pedro-sanchez-asistira-final-libertadores-bernabeu/" TargetMode="External"/><Relationship Id="rId1178" Type="http://schemas.openxmlformats.org/officeDocument/2006/relationships/hyperlink" Target="https://thenewsatyourfingertips.wordpress.com/2018/12/07/pedro-sanchez-asistira-a-la-final-de-la-copa-libertadores-en-el-bernabeu/" TargetMode="External"/><Relationship Id="rId1385" Type="http://schemas.openxmlformats.org/officeDocument/2006/relationships/hyperlink" Target="http://pic.twitter.com/l6jH92KKbG" TargetMode="External"/><Relationship Id="rId1592" Type="http://schemas.openxmlformats.org/officeDocument/2006/relationships/hyperlink" Target="http://www.sajimes.blogspot.com/" TargetMode="External"/><Relationship Id="rId2229" Type="http://schemas.openxmlformats.org/officeDocument/2006/relationships/hyperlink" Target="http://www.unicanal.com.py/" TargetMode="External"/><Relationship Id="rId2436" Type="http://schemas.openxmlformats.org/officeDocument/2006/relationships/hyperlink" Target="https://www.eldiario.es/politica/Pedro-Sanchez-Congreso-Dia-Constitucion_0_843415844.html" TargetMode="External"/><Relationship Id="rId2643" Type="http://schemas.openxmlformats.org/officeDocument/2006/relationships/hyperlink" Target="https://www.esdiario.com/238196932/El-verdadero-CIS-de-Pedro-Sanchez-otro-espectacular-abucheo-en-el-Congreso.html" TargetMode="External"/><Relationship Id="rId2850" Type="http://schemas.openxmlformats.org/officeDocument/2006/relationships/hyperlink" Target="https://www.libertaddigital.com/espana/2018-12-06/pedro-sanchez-descarta-elecciones-en-marzo-pero-abre-la-puerta-a-mayo-1276629489/" TargetMode="External"/><Relationship Id="rId91" Type="http://schemas.openxmlformats.org/officeDocument/2006/relationships/hyperlink" Target="https://www.elconfidencial.com/espana/2018-12-08/pedro-sanchez-lisboa-congreso-pes-antonio-costa-hacer-mucho-mas-ultraderecha_1693226/" TargetMode="External"/><Relationship Id="rId408" Type="http://schemas.openxmlformats.org/officeDocument/2006/relationships/hyperlink" Target="http://www.facebook.com/mikytoytoy" TargetMode="External"/><Relationship Id="rId615" Type="http://schemas.openxmlformats.org/officeDocument/2006/relationships/hyperlink" Target="http://epmundo.com/2018/el-bombazo-que-lanzo-pedro-sanchez-sobre-las-elecciones-generales/" TargetMode="External"/><Relationship Id="rId822" Type="http://schemas.openxmlformats.org/officeDocument/2006/relationships/hyperlink" Target="http://www.radiohuancavilca.com.ec/" TargetMode="External"/><Relationship Id="rId1038" Type="http://schemas.openxmlformats.org/officeDocument/2006/relationships/hyperlink" Target="https://www.facebook.com/madrid.vox/" TargetMode="External"/><Relationship Id="rId1245" Type="http://schemas.openxmlformats.org/officeDocument/2006/relationships/hyperlink" Target="https://www.elconfidencial.com/espana/2018-12-07/gobierno-pp-ciudadanos-derecho-presidir-junta-de-andalucia_1692282/" TargetMode="External"/><Relationship Id="rId1452" Type="http://schemas.openxmlformats.org/officeDocument/2006/relationships/hyperlink" Target="http://ww.cope.es/zofr61" TargetMode="External"/><Relationship Id="rId1897" Type="http://schemas.openxmlformats.org/officeDocument/2006/relationships/hyperlink" Target="https://okdiario.com/espana/2018/12/07/pedro-sanchez-reformar-constitucion-incluir-igualdad-hombres-mujeres-articulo-14-desde-hace-40-anos-3437620" TargetMode="External"/><Relationship Id="rId2503" Type="http://schemas.openxmlformats.org/officeDocument/2006/relationships/hyperlink" Target="http://ddsevilla.info/doqni2" TargetMode="External"/><Relationship Id="rId2948" Type="http://schemas.openxmlformats.org/officeDocument/2006/relationships/hyperlink" Target="https://pbs.twimg.com/media/Dtv1lJkW0AE0JNe.jpg" TargetMode="External"/><Relationship Id="rId1105" Type="http://schemas.openxmlformats.org/officeDocument/2006/relationships/hyperlink" Target="https://www.themetalcircus.com/noticias/turilli-lione-rhapsody-crowdfunding/" TargetMode="External"/><Relationship Id="rId1312" Type="http://schemas.openxmlformats.org/officeDocument/2006/relationships/hyperlink" Target="https://twitter.com/JoselillConan/status/1071043588279189506" TargetMode="External"/><Relationship Id="rId1757" Type="http://schemas.openxmlformats.org/officeDocument/2006/relationships/hyperlink" Target="https://www.libertaddigital.com/espana/2018-12-06/pedro-sanchez-desconoce-la-constitucion-pide-reformarla-para-incluir-la-igualdad-entre-hombres-y-mujeres-1276629507/" TargetMode="External"/><Relationship Id="rId1964" Type="http://schemas.openxmlformats.org/officeDocument/2006/relationships/hyperlink" Target="https://www.elconfidencial.com/espana/2018-12-06/pedro-sanchez-adelanto-electoral-marzo-seguiremos-trabajando-gobernando_1690978/" TargetMode="External"/><Relationship Id="rId2710" Type="http://schemas.openxmlformats.org/officeDocument/2006/relationships/hyperlink" Target="https://pbs.twimg.com/media/DtwVz8UWwAAbyQw.jpg" TargetMode="External"/><Relationship Id="rId2808" Type="http://schemas.openxmlformats.org/officeDocument/2006/relationships/hyperlink" Target="https://www.20minutos.es/noticia/3510514/0/pedro-sanchez-andalucia-susana-diaz/" TargetMode="External"/><Relationship Id="rId49" Type="http://schemas.openxmlformats.org/officeDocument/2006/relationships/hyperlink" Target="http://www.luisbonete.com/" TargetMode="External"/><Relationship Id="rId1617" Type="http://schemas.openxmlformats.org/officeDocument/2006/relationships/hyperlink" Target="http://pic.twitter.com/h8QFQb9Zn1" TargetMode="External"/><Relationship Id="rId1824" Type="http://schemas.openxmlformats.org/officeDocument/2006/relationships/hyperlink" Target="https://www.youtube.com/watch?time_continue=1&amp;v=OBEluUwFIu0" TargetMode="External"/><Relationship Id="rId3277" Type="http://schemas.openxmlformats.org/officeDocument/2006/relationships/hyperlink" Target="http://somosecd.com/m2uok4" TargetMode="External"/><Relationship Id="rId198" Type="http://schemas.openxmlformats.org/officeDocument/2006/relationships/hyperlink" Target="http://www.kojackadasvarias.blogspot.com/" TargetMode="External"/><Relationship Id="rId2086" Type="http://schemas.openxmlformats.org/officeDocument/2006/relationships/hyperlink" Target="https://pbs.twimg.com/media/Dty0srGXgAAK7sb.jpg" TargetMode="External"/><Relationship Id="rId2293" Type="http://schemas.openxmlformats.org/officeDocument/2006/relationships/hyperlink" Target="http://pic.twitter.com/aM89M3fAsD" TargetMode="External"/><Relationship Id="rId2598" Type="http://schemas.openxmlformats.org/officeDocument/2006/relationships/hyperlink" Target="https://www.libertaddigital.com/espana/2018-12-06/pedro-sanchez-desconoce-la-constitucion-pide-reformarla-para-incluir-la-igualdad-entre-hombres-y-mujeres-1276629507/" TargetMode="External"/><Relationship Id="rId3137" Type="http://schemas.openxmlformats.org/officeDocument/2006/relationships/hyperlink" Target="http://www.facebook.com/podemosleon" TargetMode="External"/><Relationship Id="rId3344" Type="http://schemas.openxmlformats.org/officeDocument/2006/relationships/hyperlink" Target="https://pbs.twimg.com/media/DtvGpl6XcAA89bW.jpg" TargetMode="External"/><Relationship Id="rId265" Type="http://schemas.openxmlformats.org/officeDocument/2006/relationships/hyperlink" Target="http://www.ciudadrealdigital.es/" TargetMode="External"/><Relationship Id="rId472" Type="http://schemas.openxmlformats.org/officeDocument/2006/relationships/hyperlink" Target="https://pbs.twimg.com/media/Dt4VBVWW4AAMD83.jpg" TargetMode="External"/><Relationship Id="rId2153" Type="http://schemas.openxmlformats.org/officeDocument/2006/relationships/hyperlink" Target="https://pbs.twimg.com/media/DtyU-UOX4AAR5mz.jpg" TargetMode="External"/><Relationship Id="rId2360" Type="http://schemas.openxmlformats.org/officeDocument/2006/relationships/hyperlink" Target="http://chng.it/w6JSMvJg" TargetMode="External"/><Relationship Id="rId3204" Type="http://schemas.openxmlformats.org/officeDocument/2006/relationships/hyperlink" Target="https://www.abc.es/espana/abci-pedro-sanchez-llega-entre-abucheos-congreso-40-aniversario-constitucion-201812061227_noticia.html" TargetMode="External"/><Relationship Id="rId3411" Type="http://schemas.openxmlformats.org/officeDocument/2006/relationships/hyperlink" Target="https://twitter.com/cai_nyabel/status/1070047800359088128" TargetMode="External"/><Relationship Id="rId125" Type="http://schemas.openxmlformats.org/officeDocument/2006/relationships/hyperlink" Target="http://www.multiforo.eu/" TargetMode="External"/><Relationship Id="rId332" Type="http://schemas.openxmlformats.org/officeDocument/2006/relationships/hyperlink" Target="https://youtu.be/O5jm3v4p0p0" TargetMode="External"/><Relationship Id="rId777" Type="http://schemas.openxmlformats.org/officeDocument/2006/relationships/hyperlink" Target="https://www.cope.es/n/306196" TargetMode="External"/><Relationship Id="rId984" Type="http://schemas.openxmlformats.org/officeDocument/2006/relationships/hyperlink" Target="https://amp.europapress.es/nacional/noticia-pedro-sanchez-ve-necesario-testimonio-victimas-terrorismo-nadie-nunca-cambie-historia-20181207184644.html?__twitter_impression=true" TargetMode="External"/><Relationship Id="rId2013" Type="http://schemas.openxmlformats.org/officeDocument/2006/relationships/hyperlink" Target="https://www.esdiario.com/151059239/Pedro-Sanchez-tambien-hara-huelga-de-hambre-en-solidaridad-con-los-presos.html" TargetMode="External"/><Relationship Id="rId2220" Type="http://schemas.openxmlformats.org/officeDocument/2006/relationships/hyperlink" Target="http://pic.twitter.com/HVD6msgDY1" TargetMode="External"/><Relationship Id="rId2458" Type="http://schemas.openxmlformats.org/officeDocument/2006/relationships/hyperlink" Target="http://j.mp/2EeU7LT" TargetMode="External"/><Relationship Id="rId2665" Type="http://schemas.openxmlformats.org/officeDocument/2006/relationships/hyperlink" Target="https://youtu.be/sG_u7-0Kg-A" TargetMode="External"/><Relationship Id="rId2872" Type="http://schemas.openxmlformats.org/officeDocument/2006/relationships/hyperlink" Target="https://twitter.com/J_Zaragoza_/status/1070579340679790592" TargetMode="External"/><Relationship Id="rId637" Type="http://schemas.openxmlformats.org/officeDocument/2006/relationships/hyperlink" Target="http://epmundo.com/2018/el-bombazo-que-lanzo-pedro-sanchez-sobre-las-elecciones-generales/" TargetMode="External"/><Relationship Id="rId844" Type="http://schemas.openxmlformats.org/officeDocument/2006/relationships/hyperlink" Target="https://www.cope.es/n/306196" TargetMode="External"/><Relationship Id="rId1267" Type="http://schemas.openxmlformats.org/officeDocument/2006/relationships/hyperlink" Target="http://epmundo.com/2018/el-bombazo-que-lanzo-pedro-sanchez-sobre-las-elecciones-generales/?utm_source=twitter&amp;utm_medium=social&amp;utm_campaign=ReviveOldPost" TargetMode="External"/><Relationship Id="rId1474" Type="http://schemas.openxmlformats.org/officeDocument/2006/relationships/hyperlink" Target="http://j.mp/2UnufCv" TargetMode="External"/><Relationship Id="rId1681" Type="http://schemas.openxmlformats.org/officeDocument/2006/relationships/hyperlink" Target="https://pbs.twimg.com/media/DtzvRUqXcAAK6HR.jpg" TargetMode="External"/><Relationship Id="rId2318" Type="http://schemas.openxmlformats.org/officeDocument/2006/relationships/hyperlink" Target="https://pbs.twimg.com/media/DtwD3bhX4AA_qWG.jpg" TargetMode="External"/><Relationship Id="rId2525" Type="http://schemas.openxmlformats.org/officeDocument/2006/relationships/hyperlink" Target="http://pic.twitter.com/aa6XHcamq9" TargetMode="External"/><Relationship Id="rId2732" Type="http://schemas.openxmlformats.org/officeDocument/2006/relationships/hyperlink" Target="http://www.lecturalia.com/autor/2983/joseph-gelinek" TargetMode="External"/><Relationship Id="rId704" Type="http://schemas.openxmlformats.org/officeDocument/2006/relationships/hyperlink" Target="http://www.infolibre.es/" TargetMode="External"/><Relationship Id="rId911" Type="http://schemas.openxmlformats.org/officeDocument/2006/relationships/hyperlink" Target="http://chng.it/zg6XTqYk" TargetMode="External"/><Relationship Id="rId1127" Type="http://schemas.openxmlformats.org/officeDocument/2006/relationships/hyperlink" Target="http://www.jse-burgos.es/" TargetMode="External"/><Relationship Id="rId1334" Type="http://schemas.openxmlformats.org/officeDocument/2006/relationships/hyperlink" Target="http://epmundo.com/2018/el-bombazo-que-lanzo-pedro-sanchez-sobre-las-elecciones-generales/?utm_source=twitter&amp;utm_medium=social&amp;utm_campaign=ReviveOldPost" TargetMode="External"/><Relationship Id="rId1541" Type="http://schemas.openxmlformats.org/officeDocument/2006/relationships/hyperlink" Target="http://www.verbolsa.com/" TargetMode="External"/><Relationship Id="rId1779" Type="http://schemas.openxmlformats.org/officeDocument/2006/relationships/hyperlink" Target="https://pbs.twimg.com/media/DtwD3bhX4AA_qWG.jpg" TargetMode="External"/><Relationship Id="rId1986" Type="http://schemas.openxmlformats.org/officeDocument/2006/relationships/hyperlink" Target="https://pbs.twimg.com/media/DtzE3qlWkAAlM2f.jpg" TargetMode="External"/><Relationship Id="rId40" Type="http://schemas.openxmlformats.org/officeDocument/2006/relationships/hyperlink" Target="https://itunes.apple.com/es/book/gettysburg-1863/id665369445?mt=11" TargetMode="External"/><Relationship Id="rId1401" Type="http://schemas.openxmlformats.org/officeDocument/2006/relationships/hyperlink" Target="http://j.mp/2SzbVV3" TargetMode="External"/><Relationship Id="rId1639" Type="http://schemas.openxmlformats.org/officeDocument/2006/relationships/hyperlink" Target="https://ift.tt/2PnQWTh" TargetMode="External"/><Relationship Id="rId1846" Type="http://schemas.openxmlformats.org/officeDocument/2006/relationships/hyperlink" Target="https://www.elconfidencialdigital.com/articulo/politica/pedro-sanchez-amenaza-susana-diaz-repetir-operacion-acabo-tomas-gomez/20181205184900119027.html" TargetMode="External"/><Relationship Id="rId3061" Type="http://schemas.openxmlformats.org/officeDocument/2006/relationships/hyperlink" Target="https://www.abc.es/espana/abci-pedro-sanchez-llega-entre-abucheos-congreso-40-aniversario-constitucion-201812061227_noticia.html" TargetMode="External"/><Relationship Id="rId3299" Type="http://schemas.openxmlformats.org/officeDocument/2006/relationships/hyperlink" Target="http://ver.abc.es/twnsz2" TargetMode="External"/><Relationship Id="rId1706" Type="http://schemas.openxmlformats.org/officeDocument/2006/relationships/hyperlink" Target="http://www.eldia.es/canarias/2018-12-07/6-Critican-Sanchez-estuviera-foro-RUP.htm" TargetMode="External"/><Relationship Id="rId1913" Type="http://schemas.openxmlformats.org/officeDocument/2006/relationships/hyperlink" Target="http://a.msn.com/01/es-es/BBQBgLx?ocid=st" TargetMode="External"/><Relationship Id="rId3159" Type="http://schemas.openxmlformats.org/officeDocument/2006/relationships/hyperlink" Target="http://elmunicipio.es/" TargetMode="External"/><Relationship Id="rId3366" Type="http://schemas.openxmlformats.org/officeDocument/2006/relationships/hyperlink" Target="http://blogtwiteoeltocuyo.blogspot.com/" TargetMode="External"/><Relationship Id="rId287" Type="http://schemas.openxmlformats.org/officeDocument/2006/relationships/hyperlink" Target="https://elpais.com/politica/2018/12/04/actualidad/1543916726_658727.html" TargetMode="External"/><Relationship Id="rId494" Type="http://schemas.openxmlformats.org/officeDocument/2006/relationships/hyperlink" Target="https://www.elasterisco.es/gibraltar-y-el-brexit/" TargetMode="External"/><Relationship Id="rId2175" Type="http://schemas.openxmlformats.org/officeDocument/2006/relationships/hyperlink" Target="http://www.sumarium.es/" TargetMode="External"/><Relationship Id="rId2382" Type="http://schemas.openxmlformats.org/officeDocument/2006/relationships/hyperlink" Target="http://ver.20m.es/a7toz2" TargetMode="External"/><Relationship Id="rId3019" Type="http://schemas.openxmlformats.org/officeDocument/2006/relationships/hyperlink" Target="http://pic.twitter.com/m4mfKWFUkK" TargetMode="External"/><Relationship Id="rId3226" Type="http://schemas.openxmlformats.org/officeDocument/2006/relationships/hyperlink" Target="http://www.elnuevopais.net/" TargetMode="External"/><Relationship Id="rId147" Type="http://schemas.openxmlformats.org/officeDocument/2006/relationships/hyperlink" Target="https://pbs.twimg.com/media/Dt5vgiCVAAA50_K.jpg" TargetMode="External"/><Relationship Id="rId354" Type="http://schemas.openxmlformats.org/officeDocument/2006/relationships/hyperlink" Target="http://elche.ciudadanos-cs.org/" TargetMode="External"/><Relationship Id="rId799" Type="http://schemas.openxmlformats.org/officeDocument/2006/relationships/hyperlink" Target="https://www.europapress.es/nacional/noticia-pedro-sanchez-ve-necesario-testimonio-victimas-terrorismo-nadie-nunca-cambie-historia-20181207184644.html" TargetMode="External"/><Relationship Id="rId1191" Type="http://schemas.openxmlformats.org/officeDocument/2006/relationships/hyperlink" Target="https://www.eldiestro.es/2018/12/pedro-sanchez-demuestra-ser-un-ignorante-y-un-caradura-en-una-entrevista-concedida-a-el-pais/" TargetMode="External"/><Relationship Id="rId2035" Type="http://schemas.openxmlformats.org/officeDocument/2006/relationships/hyperlink" Target="https://www.youtube.com/channel/UCY60GBj-H8SmayRG1UgDVWw" TargetMode="External"/><Relationship Id="rId2687" Type="http://schemas.openxmlformats.org/officeDocument/2006/relationships/hyperlink" Target="https://www.change.org/p/pedro-s%C3%A1nchez-pedro-s%C3%A1nchez-79-minutos-contra-la-trata?recruiter=921650725&amp;utm_campaign=signature_receipt&amp;utm_medium=twitter&amp;utm_source=share_petition" TargetMode="External"/><Relationship Id="rId2894" Type="http://schemas.openxmlformats.org/officeDocument/2006/relationships/hyperlink" Target="https://eltiroindirecto.wordpress.com/2018/11/21/espana-aboga-por-candidatura-conjunta-con-marruecos-y-portugal-para-mundial-2030/" TargetMode="External"/><Relationship Id="rId3433" Type="http://schemas.openxmlformats.org/officeDocument/2006/relationships/hyperlink" Target="https://www.economiadigital.es/politica-y-sociedad/pedro-sanchez-comunica-al-psoe-dos-fechas-para-las-elecciones_592733_102.html" TargetMode="External"/><Relationship Id="rId561" Type="http://schemas.openxmlformats.org/officeDocument/2006/relationships/hyperlink" Target="http://lapatilla.com/" TargetMode="External"/><Relationship Id="rId659" Type="http://schemas.openxmlformats.org/officeDocument/2006/relationships/hyperlink" Target="http://youtu.be/UqegwAeyJKY?a" TargetMode="External"/><Relationship Id="rId866" Type="http://schemas.openxmlformats.org/officeDocument/2006/relationships/hyperlink" Target="http://epmundo.com/" TargetMode="External"/><Relationship Id="rId1289" Type="http://schemas.openxmlformats.org/officeDocument/2006/relationships/hyperlink" Target="http://pic.twitter.com/VixnFCL9g7" TargetMode="External"/><Relationship Id="rId1496" Type="http://schemas.openxmlformats.org/officeDocument/2006/relationships/hyperlink" Target="https://www.periodistadigital.com/periodismo/tv/2018/12/07/ensalada-de-criticas-a-pedrojota-ramirez-por-lanzarse-al-cuello-de-ana-rosa-quintana-por-segun-el-humanizar-a-un-lider-de-extrema-derecha.shtml" TargetMode="External"/><Relationship Id="rId2242" Type="http://schemas.openxmlformats.org/officeDocument/2006/relationships/hyperlink" Target="http://okdiario.com/" TargetMode="External"/><Relationship Id="rId2547" Type="http://schemas.openxmlformats.org/officeDocument/2006/relationships/hyperlink" Target="https://twitter.com/" TargetMode="External"/><Relationship Id="rId214" Type="http://schemas.openxmlformats.org/officeDocument/2006/relationships/hyperlink" Target="http://www.elmundo.es/" TargetMode="External"/><Relationship Id="rId421" Type="http://schemas.openxmlformats.org/officeDocument/2006/relationships/hyperlink" Target="http://www.dondiario.com/" TargetMode="External"/><Relationship Id="rId519" Type="http://schemas.openxmlformats.org/officeDocument/2006/relationships/hyperlink" Target="https://blogs.elconfidencial.com/mundo/tribuna-internacional/2018-12-05/que-hay-detras-acuerdo-pedro-sanchez-xi-jinping_1683722/?utm_source=twitter&amp;utm_medium=social&amp;utm_campaign=BotoneraWeb" TargetMode="External"/><Relationship Id="rId1051" Type="http://schemas.openxmlformats.org/officeDocument/2006/relationships/hyperlink" Target="http://www.rtve.es/alacarta/videos/telediario/xi-jinping-pedro-sanchez-firman-veintena-acuerdos-comerciales-institucionales-culturales/4862880/" TargetMode="External"/><Relationship Id="rId1149" Type="http://schemas.openxmlformats.org/officeDocument/2006/relationships/hyperlink" Target="http://epmundo.com/2018/el-bombazo-que-lanzo-pedro-sanchez-sobre-las-elecciones-generales/" TargetMode="External"/><Relationship Id="rId1356" Type="http://schemas.openxmlformats.org/officeDocument/2006/relationships/hyperlink" Target="http://epmundo.com/2018/descontentos-asi-recibieron-a-pedro-sanchez-en-el-congreso-video/" TargetMode="External"/><Relationship Id="rId2102" Type="http://schemas.openxmlformats.org/officeDocument/2006/relationships/hyperlink" Target="https://www.linkedin.com/in/juan-jose-layda-ferrer-312443b/" TargetMode="External"/><Relationship Id="rId2754" Type="http://schemas.openxmlformats.org/officeDocument/2006/relationships/hyperlink" Target="https://www.20minutos.es/noticia/3510387/0/abucheos-pedro-sanchez-congreso-aniversario-constitucion/" TargetMode="External"/><Relationship Id="rId2961" Type="http://schemas.openxmlformats.org/officeDocument/2006/relationships/hyperlink" Target="http://bit.ly/2KYw1FL" TargetMode="External"/><Relationship Id="rId726" Type="http://schemas.openxmlformats.org/officeDocument/2006/relationships/hyperlink" Target="http://www.publico.es/" TargetMode="External"/><Relationship Id="rId933" Type="http://schemas.openxmlformats.org/officeDocument/2006/relationships/hyperlink" Target="http://epmundo.com/2018/el-bombazo-que-lanzo-pedro-sanchez-sobre-las-elecciones-generales/" TargetMode="External"/><Relationship Id="rId1009" Type="http://schemas.openxmlformats.org/officeDocument/2006/relationships/hyperlink" Target="http://w2.cetm.es/Ficheros/InformacionCETM/CETM%20INFORMA%20N%C2%BA%20063%20%20-%20%20LA%20CETM%20SOLICITA%20A%20PEDRO%20SANCHEZ%20UN%20PAQUETE%20DE%20MEDIDAS%20ECONOMICAS%20EXTRAORDINARIAS.pdf" TargetMode="External"/><Relationship Id="rId1563" Type="http://schemas.openxmlformats.org/officeDocument/2006/relationships/hyperlink" Target="https://www.eldiario.es/_3245823b" TargetMode="External"/><Relationship Id="rId1770" Type="http://schemas.openxmlformats.org/officeDocument/2006/relationships/hyperlink" Target="https://www.lavanguardia.com/vida/20181206/453396743528/afectados-por-afinsa-y-forum-filatelico-abuchean-a-pedro-sanchez-frente-al-congreso.html" TargetMode="External"/><Relationship Id="rId1868" Type="http://schemas.openxmlformats.org/officeDocument/2006/relationships/hyperlink" Target="https://pbs.twimg.com/media/DtzWHwHX4AM6x1s.jpg" TargetMode="External"/><Relationship Id="rId2407" Type="http://schemas.openxmlformats.org/officeDocument/2006/relationships/hyperlink" Target="https://www.libertaddigital.com/espana/2018-12-06/pedro-sanchez-desconoce-la-constitucion-pide-reformarla-para-incluir-la-igualdad-entre-hombres-y-mujeres-1276629507/" TargetMode="External"/><Relationship Id="rId2614" Type="http://schemas.openxmlformats.org/officeDocument/2006/relationships/hyperlink" Target="https://www.libertaddigital.com/espana/2018-12-06/pedro-sanchez-desconoce-la-constitucion-pide-reformarla-para-incluir-la-igualdad-entre-hombres-y-mujeres-1276629507/" TargetMode="External"/><Relationship Id="rId2821" Type="http://schemas.openxmlformats.org/officeDocument/2006/relationships/hyperlink" Target="http://pic.twitter.com/DaUKUlfS93" TargetMode="External"/><Relationship Id="rId62" Type="http://schemas.openxmlformats.org/officeDocument/2006/relationships/hyperlink" Target="https://pbs.twimg.com/media/Dt6BvCmXQAEkAWF.jpg" TargetMode="External"/><Relationship Id="rId1216" Type="http://schemas.openxmlformats.org/officeDocument/2006/relationships/hyperlink" Target="https://www.cope.es/n/306196" TargetMode="External"/><Relationship Id="rId1423" Type="http://schemas.openxmlformats.org/officeDocument/2006/relationships/hyperlink" Target="http://blogs.libertaddigital.com/enigmas-del-11-m/" TargetMode="External"/><Relationship Id="rId1630" Type="http://schemas.openxmlformats.org/officeDocument/2006/relationships/hyperlink" Target="https://www.mediterraneodigital.com/espana/espana/ridiculo-apoteosico-pedro-sanchez-pide-reformar-la-constitucion-para-incluir-un-articulo-que-ya-existe.html" TargetMode="External"/><Relationship Id="rId2919" Type="http://schemas.openxmlformats.org/officeDocument/2006/relationships/hyperlink" Target="http://pic.twitter.com/o8aDyzKnDf" TargetMode="External"/><Relationship Id="rId3083" Type="http://schemas.openxmlformats.org/officeDocument/2006/relationships/hyperlink" Target="https://amp.20minutos.es/noticia/3510387/0/abucheos-pedro-sanchez-congreso-aniversario-constitucion/" TargetMode="External"/><Relationship Id="rId3290" Type="http://schemas.openxmlformats.org/officeDocument/2006/relationships/hyperlink" Target="http://www.elnacional.cat/es/" TargetMode="External"/><Relationship Id="rId1728" Type="http://schemas.openxmlformats.org/officeDocument/2006/relationships/hyperlink" Target="http://www.itsduero.es/" TargetMode="External"/><Relationship Id="rId1935" Type="http://schemas.openxmlformats.org/officeDocument/2006/relationships/hyperlink" Target="http://okdiario.com/espana/2018/12/07/pedro-sanchez-reformar-constitucion-incluir-igualdad-hombres-mujeres-articulo-14-desde-hace-40-anos-3437620" TargetMode="External"/><Relationship Id="rId3150" Type="http://schemas.openxmlformats.org/officeDocument/2006/relationships/hyperlink" Target="https://www.libertaddigital.com/espana/2018-12-06/pedro-sanchez-descarta-elecciones-en-marzo-pero-abre-la-puerta-a-mayo-1276629489/" TargetMode="External"/><Relationship Id="rId3388" Type="http://schemas.openxmlformats.org/officeDocument/2006/relationships/hyperlink" Target="http://a.msn.com/01/es-es/BBQuQMy?ocid=st" TargetMode="External"/><Relationship Id="rId2197" Type="http://schemas.openxmlformats.org/officeDocument/2006/relationships/hyperlink" Target="http://bit.ly/EP_Venezuela" TargetMode="External"/><Relationship Id="rId3010" Type="http://schemas.openxmlformats.org/officeDocument/2006/relationships/hyperlink" Target="https://diariodeavisos.elespanol.com/2018/12/heridos-12-mossos-y-2-activistas-en-la-manifestacion-por-la-constitucion-en-girona/" TargetMode="External"/><Relationship Id="rId3248" Type="http://schemas.openxmlformats.org/officeDocument/2006/relationships/hyperlink" Target="https://www.economiadigital.es/politica-y-sociedad/pedro-sanchez-comunica-al-psoe-dos-fechas-para-las-elecciones_592733_102.html" TargetMode="External"/><Relationship Id="rId169" Type="http://schemas.openxmlformats.org/officeDocument/2006/relationships/hyperlink" Target="http://dlvr.it/Qt7z0H" TargetMode="External"/><Relationship Id="rId376" Type="http://schemas.openxmlformats.org/officeDocument/2006/relationships/hyperlink" Target="https://pbs.twimg.com/media/DtxBxtmW0AA_D0L.jpg" TargetMode="External"/><Relationship Id="rId583" Type="http://schemas.openxmlformats.org/officeDocument/2006/relationships/hyperlink" Target="https://pbs.twimg.com/media/Dt4D8c_X4AE1f4N.jpg" TargetMode="External"/><Relationship Id="rId790" Type="http://schemas.openxmlformats.org/officeDocument/2006/relationships/hyperlink" Target="http://www.casoaislado.com/" TargetMode="External"/><Relationship Id="rId2057" Type="http://schemas.openxmlformats.org/officeDocument/2006/relationships/hyperlink" Target="https://www.esdiario.com/452403351/Las-cifras-del-panico-asi-conduce-Pedro-Sanchez-al-precipicio-al-PSOE-.html" TargetMode="External"/><Relationship Id="rId2264" Type="http://schemas.openxmlformats.org/officeDocument/2006/relationships/hyperlink" Target="https://newsurtv.blogspot.com.es/" TargetMode="External"/><Relationship Id="rId2471" Type="http://schemas.openxmlformats.org/officeDocument/2006/relationships/hyperlink" Target="http://blogmiyares.blogspot.com/" TargetMode="External"/><Relationship Id="rId3108" Type="http://schemas.openxmlformats.org/officeDocument/2006/relationships/hyperlink" Target="https://www.libertaddigital.com/espana/politica/2018-12-06/abuheo-general-a-pedro-sanchez-convoca-elecciones-1276629479/" TargetMode="External"/><Relationship Id="rId3315" Type="http://schemas.openxmlformats.org/officeDocument/2006/relationships/hyperlink" Target="http://atres.red/3w0ag4" TargetMode="External"/><Relationship Id="rId4" Type="http://schemas.openxmlformats.org/officeDocument/2006/relationships/hyperlink" Target="https://www.libertaddigital.com/espana/2018-12-08/pedro-sanchez-dice-que-pp-y-cs-no-pueden-ser-pro-europeos-y-apoyarse-en-vox-1276629582/amp.html?__twitter_impression=true" TargetMode="External"/><Relationship Id="rId236" Type="http://schemas.openxmlformats.org/officeDocument/2006/relationships/hyperlink" Target="http://www.efe.com/" TargetMode="External"/><Relationship Id="rId443" Type="http://schemas.openxmlformats.org/officeDocument/2006/relationships/hyperlink" Target="http://lainfo.news/n6pns3" TargetMode="External"/><Relationship Id="rId650" Type="http://schemas.openxmlformats.org/officeDocument/2006/relationships/hyperlink" Target="https://periodistas-es.com/el-gobierno-elimina-los-terminos-disminuido-y-minusvalido-de-la-constitucion-espanola-114280" TargetMode="External"/><Relationship Id="rId888" Type="http://schemas.openxmlformats.org/officeDocument/2006/relationships/hyperlink" Target="https://pbs.twimg.com/media/Dt1ndtZWoAI1Z7M.jpg" TargetMode="External"/><Relationship Id="rId1073" Type="http://schemas.openxmlformats.org/officeDocument/2006/relationships/hyperlink" Target="https://www.alertanacional.es/" TargetMode="External"/><Relationship Id="rId1280" Type="http://schemas.openxmlformats.org/officeDocument/2006/relationships/hyperlink" Target="https://pbs.twimg.com/media/Dt0heN5WkAA28kw.jpg" TargetMode="External"/><Relationship Id="rId2124" Type="http://schemas.openxmlformats.org/officeDocument/2006/relationships/hyperlink" Target="https://www.libertaddigital.com/espana/2018-12-06/pedro-sanchez-descarta-elecciones-en-marzo-pero-abre-la-puerta-a-mayo-1276629489/" TargetMode="External"/><Relationship Id="rId2331" Type="http://schemas.openxmlformats.org/officeDocument/2006/relationships/hyperlink" Target="https://www.esdiario.com/238196932/El-verdadero-CIS-de-Pedro-Sanchez-otro-espectacular-abucheo-en-el-Congreso.html" TargetMode="External"/><Relationship Id="rId2569" Type="http://schemas.openxmlformats.org/officeDocument/2006/relationships/hyperlink" Target="http://columnacero.com/" TargetMode="External"/><Relationship Id="rId2776" Type="http://schemas.openxmlformats.org/officeDocument/2006/relationships/hyperlink" Target="http://www.dondiario.com/" TargetMode="External"/><Relationship Id="rId2983" Type="http://schemas.openxmlformats.org/officeDocument/2006/relationships/hyperlink" Target="http://www.larazon.es/" TargetMode="External"/><Relationship Id="rId303" Type="http://schemas.openxmlformats.org/officeDocument/2006/relationships/hyperlink" Target="http://www.zentraliainmuebles.com/" TargetMode="External"/><Relationship Id="rId748" Type="http://schemas.openxmlformats.org/officeDocument/2006/relationships/hyperlink" Target="https://www.facebook.com/losverdesgv/posts/2153740778011201" TargetMode="External"/><Relationship Id="rId955" Type="http://schemas.openxmlformats.org/officeDocument/2006/relationships/hyperlink" Target="http://bit.ly/2UoMmrB" TargetMode="External"/><Relationship Id="rId1140" Type="http://schemas.openxmlformats.org/officeDocument/2006/relationships/hyperlink" Target="https://www.mediterraneodigital.com/espana/espana/ridiculo-apoteosico-pedro-sanchez-pide-reformar-la-constitucion-para-incluir-un-articulo-que-ya-existe.html" TargetMode="External"/><Relationship Id="rId1378" Type="http://schemas.openxmlformats.org/officeDocument/2006/relationships/hyperlink" Target="http://www.linaresinformacion.com/" TargetMode="External"/><Relationship Id="rId1585" Type="http://schemas.openxmlformats.org/officeDocument/2006/relationships/hyperlink" Target="http://www.economiadigital.es/" TargetMode="External"/><Relationship Id="rId1792" Type="http://schemas.openxmlformats.org/officeDocument/2006/relationships/hyperlink" Target="http://dlvr.it/Qt2zDX" TargetMode="External"/><Relationship Id="rId2429" Type="http://schemas.openxmlformats.org/officeDocument/2006/relationships/hyperlink" Target="https://www.citizengo.org/hazteoir/166670-no-expolie-por-segunda-vez-archivo-salamanca" TargetMode="External"/><Relationship Id="rId2636" Type="http://schemas.openxmlformats.org/officeDocument/2006/relationships/hyperlink" Target="https://www.eldiario.es/_32458250" TargetMode="External"/><Relationship Id="rId2843" Type="http://schemas.openxmlformats.org/officeDocument/2006/relationships/hyperlink" Target="http://www.futbolred.com/" TargetMode="External"/><Relationship Id="rId84" Type="http://schemas.openxmlformats.org/officeDocument/2006/relationships/hyperlink" Target="https://pbs.twimg.com/media/Dt5_rrhVsAAAZEe.jpg" TargetMode="External"/><Relationship Id="rId510" Type="http://schemas.openxmlformats.org/officeDocument/2006/relationships/hyperlink" Target="http://cineypolitica.blogspot.com.es/" TargetMode="External"/><Relationship Id="rId608" Type="http://schemas.openxmlformats.org/officeDocument/2006/relationships/hyperlink" Target="http://videos.elmundo.es/v/0_lwslz5du-abucheos-a-pedro-sanchez" TargetMode="External"/><Relationship Id="rId815" Type="http://schemas.openxmlformats.org/officeDocument/2006/relationships/hyperlink" Target="http://comopunos2.blogspot.com/2018/12/la-gran-oportunidad-Pedro-Sanchez-Susana-Diaz-Andaluzas-Elecciones.html" TargetMode="External"/><Relationship Id="rId1238" Type="http://schemas.openxmlformats.org/officeDocument/2006/relationships/hyperlink" Target="http://bit.ly/EP_EEUU" TargetMode="External"/><Relationship Id="rId1445" Type="http://schemas.openxmlformats.org/officeDocument/2006/relationships/hyperlink" Target="https://okdiario.com/espana/2018/12/07/pedro-sanchez-reformar-constitucion-incluir-igualdad-hombres-mujeres-articulo-14-desde-hace-40-anos-3437620?utm_campaign=newsletter-7-diciembre&amp;utm_medium=email&amp;utm_source=acumbamail" TargetMode="External"/><Relationship Id="rId1652" Type="http://schemas.openxmlformats.org/officeDocument/2006/relationships/hyperlink" Target="http://www.sumarium.es/" TargetMode="External"/><Relationship Id="rId1000" Type="http://schemas.openxmlformats.org/officeDocument/2006/relationships/hyperlink" Target="http://www.expansion.com/actualidadeconomica/analisis/2018/12/07/5c0a67b546163fae278b4590.html" TargetMode="External"/><Relationship Id="rId1305" Type="http://schemas.openxmlformats.org/officeDocument/2006/relationships/hyperlink" Target="http://atres.red/h11r3" TargetMode="External"/><Relationship Id="rId1957" Type="http://schemas.openxmlformats.org/officeDocument/2006/relationships/hyperlink" Target="https://www.elconfidencial.com/espana/2018-12-06/pedro-sanchez-adelanto-electoral-marzo-seguiremos-trabajando-gobernando_1690978/" TargetMode="External"/><Relationship Id="rId2703" Type="http://schemas.openxmlformats.org/officeDocument/2006/relationships/hyperlink" Target="https://pbs.twimg.com/media/DtwWHblVAAAMlYv.jpg" TargetMode="External"/><Relationship Id="rId2910" Type="http://schemas.openxmlformats.org/officeDocument/2006/relationships/hyperlink" Target="http://csur.red/ZkDX50jSmUQ" TargetMode="External"/><Relationship Id="rId1512" Type="http://schemas.openxmlformats.org/officeDocument/2006/relationships/hyperlink" Target="https://www.eldiario.es/politica/Andalucia-Sanchez-cambiar-presentara-presupuestos_0_842716786.html" TargetMode="External"/><Relationship Id="rId1817" Type="http://schemas.openxmlformats.org/officeDocument/2006/relationships/hyperlink" Target="https://okdiario.com/espana/2018/12/07/pedro-sanchez-reformar-constitucion-incluir-igualdad-hombres-mujeres-articulo-14-desde-hace-40-anos-3437620" TargetMode="External"/><Relationship Id="rId3172" Type="http://schemas.openxmlformats.org/officeDocument/2006/relationships/hyperlink" Target="http://puertasdoor-man.com/" TargetMode="External"/><Relationship Id="rId11" Type="http://schemas.openxmlformats.org/officeDocument/2006/relationships/hyperlink" Target="https://twitter.com/NoeMartri/status/1071128786702426112" TargetMode="External"/><Relationship Id="rId398" Type="http://schemas.openxmlformats.org/officeDocument/2006/relationships/hyperlink" Target="http://epmundo.com/2018/el-bombazo-que-lanzo-pedro-sanchez-sobre-las-elecciones-generales/" TargetMode="External"/><Relationship Id="rId2079" Type="http://schemas.openxmlformats.org/officeDocument/2006/relationships/hyperlink" Target="https://okdiario.com/espana/2018/12/07/pedro-sanchez-reformar-constitucion-incluir-igualdad-hombres-mujeres-articulo-14-desde-hace-40-anos-3437620" TargetMode="External"/><Relationship Id="rId3032" Type="http://schemas.openxmlformats.org/officeDocument/2006/relationships/hyperlink" Target="https://www.abc.es/espana/abci-pedro-sanchez-llega-entre-abucheos-congreso-40-aniversario-constitucion-201812061227_noticia.html" TargetMode="External"/><Relationship Id="rId160" Type="http://schemas.openxmlformats.org/officeDocument/2006/relationships/hyperlink" Target="http://ver.20m.es/jw02d2" TargetMode="External"/><Relationship Id="rId2286" Type="http://schemas.openxmlformats.org/officeDocument/2006/relationships/hyperlink" Target="http://www.lextres.com/" TargetMode="External"/><Relationship Id="rId2493" Type="http://schemas.openxmlformats.org/officeDocument/2006/relationships/hyperlink" Target="https://pbs.twimg.com/media/DtwD3bhX4AA_qWG.jpg" TargetMode="External"/><Relationship Id="rId3337" Type="http://schemas.openxmlformats.org/officeDocument/2006/relationships/hyperlink" Target="http://dlvr.it/Qsz8BY" TargetMode="External"/><Relationship Id="rId258" Type="http://schemas.openxmlformats.org/officeDocument/2006/relationships/hyperlink" Target="http://voyager.jpl.nasa.gov/" TargetMode="External"/><Relationship Id="rId465" Type="http://schemas.openxmlformats.org/officeDocument/2006/relationships/hyperlink" Target="https://casoaislado.com/pedro-sanchez-reconocera-cataluna-como-nacion-a-cambio-de-que-los-independentistas-acepten-los-presupuestos/" TargetMode="External"/><Relationship Id="rId672" Type="http://schemas.openxmlformats.org/officeDocument/2006/relationships/hyperlink" Target="https://pbs.twimg.com/media/DtzTga-WwAAhCtl.jpg" TargetMode="External"/><Relationship Id="rId1095" Type="http://schemas.openxmlformats.org/officeDocument/2006/relationships/hyperlink" Target="http://epmundo.com/2018/descontentos-asi-recibieron-a-pedro-sanchez-en-el-congreso-video/" TargetMode="External"/><Relationship Id="rId2146" Type="http://schemas.openxmlformats.org/officeDocument/2006/relationships/hyperlink" Target="https://pbs.twimg.com/media/DtyXFR2WoAAi_P7.jpg" TargetMode="External"/><Relationship Id="rId2353" Type="http://schemas.openxmlformats.org/officeDocument/2006/relationships/hyperlink" Target="http://pic.twitter.com/83wxj6RFG4" TargetMode="External"/><Relationship Id="rId2560" Type="http://schemas.openxmlformats.org/officeDocument/2006/relationships/hyperlink" Target="http://dlvr.it/Qt0qHg" TargetMode="External"/><Relationship Id="rId2798" Type="http://schemas.openxmlformats.org/officeDocument/2006/relationships/hyperlink" Target="https://www.lasexta.com/noticias/nacional/gritos-de-fuera-fuera-y-abucheos-en-la-llegada-de-pedro-sanchez-al-acto-por-el-40-aniversario-de-la-constitucion-video_201812065c0904bc0cf2d96fe2faa790.html" TargetMode="External"/><Relationship Id="rId3404" Type="http://schemas.openxmlformats.org/officeDocument/2006/relationships/hyperlink" Target="http://elperiodi.co/j4hfe1" TargetMode="External"/><Relationship Id="rId118" Type="http://schemas.openxmlformats.org/officeDocument/2006/relationships/hyperlink" Target="http://elconfidencial.com/" TargetMode="External"/><Relationship Id="rId325" Type="http://schemas.openxmlformats.org/officeDocument/2006/relationships/hyperlink" Target="http://pic.twitter.com/FCFmDK2ovf" TargetMode="External"/><Relationship Id="rId532" Type="http://schemas.openxmlformats.org/officeDocument/2006/relationships/hyperlink" Target="https://www.libertaddigital.com/espana/2018-12-06/pedro-sanchez-desconoce-la-constitucion-pide-reformarla-para-incluir-la-igualdad-entre-hombres-y-mujeres-1276629507/" TargetMode="External"/><Relationship Id="rId977" Type="http://schemas.openxmlformats.org/officeDocument/2006/relationships/hyperlink" Target="https://www.cope.es/n/306196" TargetMode="External"/><Relationship Id="rId1162" Type="http://schemas.openxmlformats.org/officeDocument/2006/relationships/hyperlink" Target="http://dlvr.it/Qt4Hzg" TargetMode="External"/><Relationship Id="rId2006" Type="http://schemas.openxmlformats.org/officeDocument/2006/relationships/hyperlink" Target="https://www.libremercado.com/2018-12-07/el-populismo-de-pedro-sanchez-se-extiende-al-sector-energetico-1276629287/" TargetMode="External"/><Relationship Id="rId2213" Type="http://schemas.openxmlformats.org/officeDocument/2006/relationships/hyperlink" Target="https://www.elnortedecastilla.es/40-aniversario-constitucion/pedro-sanchez-lleva-20181206123919-ntrc.html" TargetMode="External"/><Relationship Id="rId2420" Type="http://schemas.openxmlformats.org/officeDocument/2006/relationships/hyperlink" Target="https://www.libertaddigital.com/espana/2018-12-06/pedro-sanchez-desconoce-la-constitucion-pide-reformarla-para-incluir-la-igualdad-entre-hombres-y-mujeres-1276629507/" TargetMode="External"/><Relationship Id="rId2658" Type="http://schemas.openxmlformats.org/officeDocument/2006/relationships/hyperlink" Target="http://www.libertaddigital.es/" TargetMode="External"/><Relationship Id="rId2865" Type="http://schemas.openxmlformats.org/officeDocument/2006/relationships/hyperlink" Target="http://www.cambio16.com/" TargetMode="External"/><Relationship Id="rId837" Type="http://schemas.openxmlformats.org/officeDocument/2006/relationships/hyperlink" Target="http://www.futbol-addict.com/es/news/liga-santander/granada-cf" TargetMode="External"/><Relationship Id="rId1022" Type="http://schemas.openxmlformats.org/officeDocument/2006/relationships/hyperlink" Target="http://www.madridactual.es/" TargetMode="External"/><Relationship Id="rId1467" Type="http://schemas.openxmlformats.org/officeDocument/2006/relationships/hyperlink" Target="https://www.libertaddigital.com/espana/2018-12-06/pedro-sanchez-desconoce-la-constitucion-pide-reformarla-para-incluir-la-igualdad-entre-hombres-y-mujeres-1276629507/" TargetMode="External"/><Relationship Id="rId1674" Type="http://schemas.openxmlformats.org/officeDocument/2006/relationships/hyperlink" Target="http://www.prohibidogritar.strikingly.com/" TargetMode="External"/><Relationship Id="rId1881" Type="http://schemas.openxmlformats.org/officeDocument/2006/relationships/hyperlink" Target="http://bit.ly/2PnE7Z9" TargetMode="External"/><Relationship Id="rId2518" Type="http://schemas.openxmlformats.org/officeDocument/2006/relationships/hyperlink" Target="https://www.libertaddigital.com/espana/2018-12-06/pedro-sanchez-desconoce-la-constitucion-pide-reformarla-para-incluir-la-igualdad-entre-hombres-y-mujeres-1276629507/" TargetMode="External"/><Relationship Id="rId2725" Type="http://schemas.openxmlformats.org/officeDocument/2006/relationships/hyperlink" Target="https://www.eldiario.es/politica/Pedro-Sanchez-reforma-Constitucion-igualdad_0_843416144.html" TargetMode="External"/><Relationship Id="rId2932" Type="http://schemas.openxmlformats.org/officeDocument/2006/relationships/hyperlink" Target="https://okdiario.com/espana/2018/12/06/pedro-sanchez-no-forzara-relevo-susana-diaz-dejara-psoe-andaluz-fulmine-3434507" TargetMode="External"/><Relationship Id="rId904" Type="http://schemas.openxmlformats.org/officeDocument/2006/relationships/hyperlink" Target="https://m.eldiario.es/_3245823b" TargetMode="External"/><Relationship Id="rId1327" Type="http://schemas.openxmlformats.org/officeDocument/2006/relationships/hyperlink" Target="http://www.catradio.cat/" TargetMode="External"/><Relationship Id="rId1534" Type="http://schemas.openxmlformats.org/officeDocument/2006/relationships/hyperlink" Target="https://www.eldiario.es/_3245823b" TargetMode="External"/><Relationship Id="rId1741" Type="http://schemas.openxmlformats.org/officeDocument/2006/relationships/hyperlink" Target="https://www.periodistadigital.com/periodismo/tv/2018/10/22/jordi-evole-utiliza-a-los-discapacitados-para-que-exhiban-su-odio-visceral-a-rajoy-trump-y-a-la-banca.shtml" TargetMode="External"/><Relationship Id="rId1979" Type="http://schemas.openxmlformats.org/officeDocument/2006/relationships/hyperlink" Target="https://www.libremercado.com/2018-12-07/el-populismo-de-pedro-sanchez-se-extiende-al-sector-energetico-1276629287/" TargetMode="External"/><Relationship Id="rId3194" Type="http://schemas.openxmlformats.org/officeDocument/2006/relationships/hyperlink" Target="https://pbs.twimg.com/media/DtvYQcJW0AA9Cha.jpg" TargetMode="External"/><Relationship Id="rId33" Type="http://schemas.openxmlformats.org/officeDocument/2006/relationships/hyperlink" Target="http://www.pibpotencial.com/" TargetMode="External"/><Relationship Id="rId1601" Type="http://schemas.openxmlformats.org/officeDocument/2006/relationships/hyperlink" Target="https://pbs.twimg.com/media/Dtz4mFiWkAA5ZKJ.jpg" TargetMode="External"/><Relationship Id="rId1839" Type="http://schemas.openxmlformats.org/officeDocument/2006/relationships/hyperlink" Target="https://www.youtube.com/c/RojoCabreado" TargetMode="External"/><Relationship Id="rId3054" Type="http://schemas.openxmlformats.org/officeDocument/2006/relationships/hyperlink" Target="http://net.quantitas.com/help/contact" TargetMode="External"/><Relationship Id="rId182" Type="http://schemas.openxmlformats.org/officeDocument/2006/relationships/hyperlink" Target="https://itunes.apple.com/es/book/gettysburg-1863/id665369445?mt=11" TargetMode="External"/><Relationship Id="rId1906" Type="http://schemas.openxmlformats.org/officeDocument/2006/relationships/hyperlink" Target="https://pbs.twimg.com/media/DtzPTWVXQAABreE.jpg" TargetMode="External"/><Relationship Id="rId3261" Type="http://schemas.openxmlformats.org/officeDocument/2006/relationships/hyperlink" Target="https://www.abc.es/espana/abci-pedro-sanchez-llega-entre-abucheos-congreso-40-aniversario-constitucion-201812061227_noticia.html" TargetMode="External"/><Relationship Id="rId3359" Type="http://schemas.openxmlformats.org/officeDocument/2006/relationships/hyperlink" Target="http://epmundo.com/2018/descontentos-asi-recibieron-a-pedro-sanchez-en-el-congreso-video/" TargetMode="External"/><Relationship Id="rId487" Type="http://schemas.openxmlformats.org/officeDocument/2006/relationships/hyperlink" Target="http://www.eleconomista.es/opinion-blogs/noticias/9464980/10/18/Las-cuentas-de-pedro-Sanchez-y-la-senda-a-ninguna-parte.html" TargetMode="External"/><Relationship Id="rId694" Type="http://schemas.openxmlformats.org/officeDocument/2006/relationships/hyperlink" Target="https://www.facebook.com/100000273284122/posts/2196749743677447/" TargetMode="External"/><Relationship Id="rId2070" Type="http://schemas.openxmlformats.org/officeDocument/2006/relationships/hyperlink" Target="http://epmundo.com/2018/descontentos-asi-recibieron-a-pedro-sanchez-en-el-congreso-video/" TargetMode="External"/><Relationship Id="rId2168" Type="http://schemas.openxmlformats.org/officeDocument/2006/relationships/hyperlink" Target="http://epmundo.com/2018/descontentos-asi-recibieron-a-pedro-sanchez-en-el-congreso-video/" TargetMode="External"/><Relationship Id="rId2375" Type="http://schemas.openxmlformats.org/officeDocument/2006/relationships/hyperlink" Target="http://www.lasexta.com/elintermedio" TargetMode="External"/><Relationship Id="rId3121" Type="http://schemas.openxmlformats.org/officeDocument/2006/relationships/hyperlink" Target="http://videos.elmundo.es/v/0_lwslz5du-abucheos-a-pedro-sanchez" TargetMode="External"/><Relationship Id="rId3219" Type="http://schemas.openxmlformats.org/officeDocument/2006/relationships/hyperlink" Target="https://www.abc.es/espana/abci-pedro-sanchez-llega-entre-abucheos-congreso-40-aniversario-constitucion-201812061227_noticia.html" TargetMode="External"/><Relationship Id="rId347" Type="http://schemas.openxmlformats.org/officeDocument/2006/relationships/hyperlink" Target="https://itunes.apple.com/es/book/gettysburg-1863/id665369445?mt=11" TargetMode="External"/><Relationship Id="rId999" Type="http://schemas.openxmlformats.org/officeDocument/2006/relationships/hyperlink" Target="https://www.lavanguardia.com/politica/20181206/453397537702/pedro-sanchez-elecciones-reunion-quim-torra-21-de-diciembre.html" TargetMode="External"/><Relationship Id="rId1184" Type="http://schemas.openxmlformats.org/officeDocument/2006/relationships/hyperlink" Target="https://www.infobae.com/america/deportes/2018/12/07/el-presidente-espanol-pedro-sanchez-asistira-a-la-final-de-la-copa-libertadores-en-el-santiago-bernabeu/" TargetMode="External"/><Relationship Id="rId2028" Type="http://schemas.openxmlformats.org/officeDocument/2006/relationships/hyperlink" Target="http://www.rtve.es/lasmananas" TargetMode="External"/><Relationship Id="rId2582" Type="http://schemas.openxmlformats.org/officeDocument/2006/relationships/hyperlink" Target="http://bit.ly/joseprosell" TargetMode="External"/><Relationship Id="rId2887" Type="http://schemas.openxmlformats.org/officeDocument/2006/relationships/hyperlink" Target="https://www.youtube.com/channel/UCY60GBj-H8SmayRG1UgDVWw" TargetMode="External"/><Relationship Id="rId3426" Type="http://schemas.openxmlformats.org/officeDocument/2006/relationships/hyperlink" Target="https://www.libertaddigital.com/espana/politica/2018-12-06/abuheo-general-a-pedro-sanchez-convoca-elecciones-1276629479/" TargetMode="External"/><Relationship Id="rId554" Type="http://schemas.openxmlformats.org/officeDocument/2006/relationships/hyperlink" Target="http://j.mp/2rpCMY8" TargetMode="External"/><Relationship Id="rId761" Type="http://schemas.openxmlformats.org/officeDocument/2006/relationships/hyperlink" Target="https://www.mundiario.com/seccion/galicia" TargetMode="External"/><Relationship Id="rId859" Type="http://schemas.openxmlformats.org/officeDocument/2006/relationships/hyperlink" Target="https://goo.gl/3vcmVH?sxp33=484441243" TargetMode="External"/><Relationship Id="rId1391" Type="http://schemas.openxmlformats.org/officeDocument/2006/relationships/hyperlink" Target="http://favstar.fm/users/Ibrahimovizismo" TargetMode="External"/><Relationship Id="rId1489" Type="http://schemas.openxmlformats.org/officeDocument/2006/relationships/hyperlink" Target="http://www.infotaller.tv/usuarios/registro.html" TargetMode="External"/><Relationship Id="rId1696" Type="http://schemas.openxmlformats.org/officeDocument/2006/relationships/hyperlink" Target="https://www.libertaddigital.com/espana/politica/2018-12-06/abuheo-general-a-pedro-sanchez-convoca-elecciones-1276629479/" TargetMode="External"/><Relationship Id="rId2235" Type="http://schemas.openxmlformats.org/officeDocument/2006/relationships/hyperlink" Target="https://f7td5.app.goo.gl/Ksw3g" TargetMode="External"/><Relationship Id="rId2442" Type="http://schemas.openxmlformats.org/officeDocument/2006/relationships/hyperlink" Target="https://www.instagram.com/boroscq" TargetMode="External"/><Relationship Id="rId207" Type="http://schemas.openxmlformats.org/officeDocument/2006/relationships/hyperlink" Target="https://okdiario.com/economia/2018/12/08/italia-credibilidad-presupuestos-pedro-sanchez-denunciar-ue-trato-discriminatorio-3437675" TargetMode="External"/><Relationship Id="rId414" Type="http://schemas.openxmlformats.org/officeDocument/2006/relationships/hyperlink" Target="http://eleconomista.es/" TargetMode="External"/><Relationship Id="rId621" Type="http://schemas.openxmlformats.org/officeDocument/2006/relationships/hyperlink" Target="http://lector.kioskoymas.com/epaper/showlink.aspx?bookmarkid=G4R420ZJ2ZD2&amp;issue=21942018120800000000001001&amp;article=bdcaa8ab-5544-4fbd-94ce-871f6246dcbc" TargetMode="External"/><Relationship Id="rId1044" Type="http://schemas.openxmlformats.org/officeDocument/2006/relationships/hyperlink" Target="https://www.cope.es/n/306196" TargetMode="External"/><Relationship Id="rId1251" Type="http://schemas.openxmlformats.org/officeDocument/2006/relationships/hyperlink" Target="https://pbs.twimg.com/media/Dt0k_m4XcAEJc_q.jpg" TargetMode="External"/><Relationship Id="rId1349" Type="http://schemas.openxmlformats.org/officeDocument/2006/relationships/hyperlink" Target="https://pbs.twimg.com/media/Dt0ZGvGV4AAyX0k.jpg" TargetMode="External"/><Relationship Id="rId2302" Type="http://schemas.openxmlformats.org/officeDocument/2006/relationships/hyperlink" Target="https://www.abc.es/espana/abci-pedro-sanchez-llega-entre-abucheos-congreso-40-aniversario-constitucion-201812061227_noticia.html" TargetMode="External"/><Relationship Id="rId2747" Type="http://schemas.openxmlformats.org/officeDocument/2006/relationships/hyperlink" Target="https://elpais.com/politica/2018/12/06/actualidad/1544108922_690929.html" TargetMode="External"/><Relationship Id="rId2954" Type="http://schemas.openxmlformats.org/officeDocument/2006/relationships/hyperlink" Target="http://epmundo.com/2018/descontentos-asi-recibieron-a-pedro-sanchez-en-el-congreso-video/" TargetMode="External"/><Relationship Id="rId719" Type="http://schemas.openxmlformats.org/officeDocument/2006/relationships/hyperlink" Target="https://josefinallorentej.wixsite.com/canella" TargetMode="External"/><Relationship Id="rId926" Type="http://schemas.openxmlformats.org/officeDocument/2006/relationships/hyperlink" Target="http://www.abc.es/espana/abci-poder-judicial-denuncia-falta-proteccion-parte-generalitat-201812071850_noticia.html" TargetMode="External"/><Relationship Id="rId1111" Type="http://schemas.openxmlformats.org/officeDocument/2006/relationships/hyperlink" Target="http://jmm.es/" TargetMode="External"/><Relationship Id="rId1556" Type="http://schemas.openxmlformats.org/officeDocument/2006/relationships/hyperlink" Target="https://twitter.com/numer344/status/1070803382670114816?s=19" TargetMode="External"/><Relationship Id="rId1763" Type="http://schemas.openxmlformats.org/officeDocument/2006/relationships/hyperlink" Target="https://pbs.twimg.com/media/Dtzk67CWsAA0pgI.jpg" TargetMode="External"/><Relationship Id="rId1970" Type="http://schemas.openxmlformats.org/officeDocument/2006/relationships/hyperlink" Target="http://www.lasilenciosacat.org/" TargetMode="External"/><Relationship Id="rId2607" Type="http://schemas.openxmlformats.org/officeDocument/2006/relationships/hyperlink" Target="https://www.libertaddigital.com/espana/2018-12-06/pedro-sanchez-desconoce-la-constitucion-pide-reformarla-para-incluir-la-igualdad-entre-hombres-y-mujeres-1276629507/" TargetMode="External"/><Relationship Id="rId2814" Type="http://schemas.openxmlformats.org/officeDocument/2006/relationships/hyperlink" Target="https://pbs.twimg.com/media/DtwI8z8WwAE0aNu.jpg" TargetMode="External"/><Relationship Id="rId55" Type="http://schemas.openxmlformats.org/officeDocument/2006/relationships/hyperlink" Target="https://twitter.com/govern/status/1071363224526880770" TargetMode="External"/><Relationship Id="rId1209" Type="http://schemas.openxmlformats.org/officeDocument/2006/relationships/hyperlink" Target="https://ift.tt/2G71BCF" TargetMode="External"/><Relationship Id="rId1416" Type="http://schemas.openxmlformats.org/officeDocument/2006/relationships/hyperlink" Target="http://tuwebpersonalizada.es/" TargetMode="External"/><Relationship Id="rId1623" Type="http://schemas.openxmlformats.org/officeDocument/2006/relationships/hyperlink" Target="http://videos.elmundo.es/v/0_lwslz5du-abucheos-a-pedro-sanchez" TargetMode="External"/><Relationship Id="rId1830" Type="http://schemas.openxmlformats.org/officeDocument/2006/relationships/hyperlink" Target="https://pbs.twimg.com/media/DtzbdXVXQAA_zg_.jpg" TargetMode="External"/><Relationship Id="rId3076" Type="http://schemas.openxmlformats.org/officeDocument/2006/relationships/hyperlink" Target="https://youtu.be/_ifz81LmVRE" TargetMode="External"/><Relationship Id="rId3283" Type="http://schemas.openxmlformats.org/officeDocument/2006/relationships/hyperlink" Target="http://www.cambio16.com/" TargetMode="External"/><Relationship Id="rId1928" Type="http://schemas.openxmlformats.org/officeDocument/2006/relationships/hyperlink" Target="https://okdiario.com/espana/2018/12/07/pedro-sanchez-reformar-constitucion-incluir-igualdad-hombres-mujeres-articulo-14-desde-hace-40-anos-3437620" TargetMode="External"/><Relationship Id="rId2092" Type="http://schemas.openxmlformats.org/officeDocument/2006/relationships/hyperlink" Target="http://www.libremercado.com/" TargetMode="External"/><Relationship Id="rId3143" Type="http://schemas.openxmlformats.org/officeDocument/2006/relationships/hyperlink" Target="http://www.ideal.es/jaen" TargetMode="External"/><Relationship Id="rId3350" Type="http://schemas.openxmlformats.org/officeDocument/2006/relationships/hyperlink" Target="https://pbs.twimg.com/media/DtvGWGEXQAAjAsM.jpg" TargetMode="External"/><Relationship Id="rId271" Type="http://schemas.openxmlformats.org/officeDocument/2006/relationships/hyperlink" Target="https://pbs.twimg.com/media/Dt5byYDX4AAfK5j.jpg" TargetMode="External"/><Relationship Id="rId2397" Type="http://schemas.openxmlformats.org/officeDocument/2006/relationships/hyperlink" Target="http://blogs.elconfidencial.com/espana/caza-mayor/" TargetMode="External"/><Relationship Id="rId3003" Type="http://schemas.openxmlformats.org/officeDocument/2006/relationships/hyperlink" Target="https://pbs.twimg.com/media/DtvJGiLW0AAhUcI.jpg" TargetMode="External"/><Relationship Id="rId131" Type="http://schemas.openxmlformats.org/officeDocument/2006/relationships/hyperlink" Target="https://www.mediterraneodigital.com/espana/espana/ridiculo-apoteosico-pedro-sanchez-pide-reformar-la-constitucion-para-incluir-un-articulo-que-ya-existe.html" TargetMode="External"/><Relationship Id="rId369" Type="http://schemas.openxmlformats.org/officeDocument/2006/relationships/hyperlink" Target="http://www.elperiodico.com.do/" TargetMode="External"/><Relationship Id="rId576" Type="http://schemas.openxmlformats.org/officeDocument/2006/relationships/hyperlink" Target="https://www.pscp.tv/w/btRGUTgzMDY4OXwxWXFKRHlhUkJiRHhW6mtr_yU1erigVbeFkXyDwhlfgT-PuovkCXVmKbSstqE=" TargetMode="External"/><Relationship Id="rId783" Type="http://schemas.openxmlformats.org/officeDocument/2006/relationships/hyperlink" Target="https://m.eldiario.es/politica/Pedro-Sanchez-reforma-Constitucion-igualdad_0_843416144.html" TargetMode="External"/><Relationship Id="rId990" Type="http://schemas.openxmlformats.org/officeDocument/2006/relationships/hyperlink" Target="https://www.instagram.com/manelok/" TargetMode="External"/><Relationship Id="rId2257" Type="http://schemas.openxmlformats.org/officeDocument/2006/relationships/hyperlink" Target="https://youtu.be/OWL1NAkKNwk" TargetMode="External"/><Relationship Id="rId2464" Type="http://schemas.openxmlformats.org/officeDocument/2006/relationships/hyperlink" Target="https://www.nuevatribuna.es/opinion/victor-arrogante/tratado-de-utrecht-dos/20181202183720158032.html" TargetMode="External"/><Relationship Id="rId2671" Type="http://schemas.openxmlformats.org/officeDocument/2006/relationships/hyperlink" Target="https://pbs.twimg.com/media/DtwaJt2U4AABFjF.jpg" TargetMode="External"/><Relationship Id="rId3210" Type="http://schemas.openxmlformats.org/officeDocument/2006/relationships/hyperlink" Target="http://dlvr.it/QszPJy" TargetMode="External"/><Relationship Id="rId3308" Type="http://schemas.openxmlformats.org/officeDocument/2006/relationships/hyperlink" Target="https://www.laverdad.es/40-aniversario-constitucion/pedro-sanchez-lleva-20181206123919-ntrc.html" TargetMode="External"/><Relationship Id="rId229" Type="http://schemas.openxmlformats.org/officeDocument/2006/relationships/hyperlink" Target="http://dlvr.it/Qt7smX" TargetMode="External"/><Relationship Id="rId436" Type="http://schemas.openxmlformats.org/officeDocument/2006/relationships/hyperlink" Target="https://okdiario.com/espana/2018/12/07/separatistas-manipulan-foto-abascal-mostrarle-besando-tumba-franco-3440935" TargetMode="External"/><Relationship Id="rId643" Type="http://schemas.openxmlformats.org/officeDocument/2006/relationships/hyperlink" Target="https://www.mediterraneodigital.com/espana/espana/ridiculo-apoteosico-pedro-sanchez-pide-reformar-la-constitucion-para-incluir-un-articulo-que-ya-existe.html?fbclid=IwAR3DtGpDPLbmYc_hr8SyULrmZzwPJizoOQAH0HvEIXFhYnrliPzrtz81568" TargetMode="External"/><Relationship Id="rId1066" Type="http://schemas.openxmlformats.org/officeDocument/2006/relationships/hyperlink" Target="http://www.ciudadanos-cs.org/" TargetMode="External"/><Relationship Id="rId1273" Type="http://schemas.openxmlformats.org/officeDocument/2006/relationships/hyperlink" Target="https://goo.gl/fb/B3AgP8" TargetMode="External"/><Relationship Id="rId1480" Type="http://schemas.openxmlformats.org/officeDocument/2006/relationships/hyperlink" Target="https://www.mediterraneodigital.com/espana/espana/ridiculo-apoteosico-pedro-sanchez-pide-reformar-la-constitucion-para-incluir-un-articulo-que-ya-existe.html" TargetMode="External"/><Relationship Id="rId2117" Type="http://schemas.openxmlformats.org/officeDocument/2006/relationships/hyperlink" Target="https://m.eldiario.es/_32458250" TargetMode="External"/><Relationship Id="rId2324" Type="http://schemas.openxmlformats.org/officeDocument/2006/relationships/hyperlink" Target="https://www.lasexta.com/noticias/nacional/pedro-sanchez-rechaza-convocar-elecciones-en-marzo-e-insinua-que-tampoco-las-habra-en-mayo-video_201812065c09438c0cf26a2d5573f4c3.html" TargetMode="External"/><Relationship Id="rId2769" Type="http://schemas.openxmlformats.org/officeDocument/2006/relationships/hyperlink" Target="http://www.psoe-barajas.org/" TargetMode="External"/><Relationship Id="rId2976" Type="http://schemas.openxmlformats.org/officeDocument/2006/relationships/hyperlink" Target="https://www.libertaddigital.com/espana/2018-12-06/pedro-sanchez-descarta-elecciones-en-marzo-pero-abre-la-puerta-a-mayo-1276629489/" TargetMode="External"/><Relationship Id="rId850" Type="http://schemas.openxmlformats.org/officeDocument/2006/relationships/hyperlink" Target="http://flip.it/Qw5Pvz" TargetMode="External"/><Relationship Id="rId948" Type="http://schemas.openxmlformats.org/officeDocument/2006/relationships/hyperlink" Target="https://pbs.twimg.com/media/DtwD3bhX4AA_qWG.jpg" TargetMode="External"/><Relationship Id="rId1133" Type="http://schemas.openxmlformats.org/officeDocument/2006/relationships/hyperlink" Target="https://youtu.be/BDBS6F7sX-Q" TargetMode="External"/><Relationship Id="rId1578" Type="http://schemas.openxmlformats.org/officeDocument/2006/relationships/hyperlink" Target="https://pbs.twimg.com/media/Dtz7_yBWwAEzTex.jpg" TargetMode="External"/><Relationship Id="rId1785" Type="http://schemas.openxmlformats.org/officeDocument/2006/relationships/hyperlink" Target="https://pbs.twimg.com/media/Dtziw-VXcAE1YIC.jpg" TargetMode="External"/><Relationship Id="rId1992" Type="http://schemas.openxmlformats.org/officeDocument/2006/relationships/hyperlink" Target="https://pbs.twimg.com/media/DtzDpSHWkAAPw2i.jpg" TargetMode="External"/><Relationship Id="rId2531" Type="http://schemas.openxmlformats.org/officeDocument/2006/relationships/hyperlink" Target="http://epmundo.com/2018/descontentos-asi-recibieron-a-pedro-sanchez-en-el-congreso-video/" TargetMode="External"/><Relationship Id="rId2629" Type="http://schemas.openxmlformats.org/officeDocument/2006/relationships/hyperlink" Target="https://www.libertaddigital.com/espana/2018-12-06/pedro-sanchez-desconoce-la-constitucion-pide-reformarla-para-incluir-la-igualdad-entre-hombres-y-mujeres-1276629507/" TargetMode="External"/><Relationship Id="rId2836" Type="http://schemas.openxmlformats.org/officeDocument/2006/relationships/hyperlink" Target="https://www.20minutos.es/noticia/3510387/0/abucheos-pedro-sanchez-congreso-aniversario-constitucion/?utm_source=facebook.com&amp;utm_medium=socialshare&amp;utm_campaign=mobile_amp" TargetMode="External"/><Relationship Id="rId77" Type="http://schemas.openxmlformats.org/officeDocument/2006/relationships/hyperlink" Target="https://pbs.twimg.com/media/Dt6AzHqXQAcpeq0.jpg" TargetMode="External"/><Relationship Id="rId503" Type="http://schemas.openxmlformats.org/officeDocument/2006/relationships/hyperlink" Target="http://antoniocampscasasnovas.balearweb.net/" TargetMode="External"/><Relationship Id="rId710" Type="http://schemas.openxmlformats.org/officeDocument/2006/relationships/hyperlink" Target="https://m.facebook.com/groups/247531306734?ref=bookmarks" TargetMode="External"/><Relationship Id="rId808" Type="http://schemas.openxmlformats.org/officeDocument/2006/relationships/hyperlink" Target="https://www.europapress.es/nacional/noticia-pedro-sanchez-celebra-detencion-ultra-garcia-julia-democracia-justicia-siempre-vencen-enemigos-20181206231243.html" TargetMode="External"/><Relationship Id="rId1340" Type="http://schemas.openxmlformats.org/officeDocument/2006/relationships/hyperlink" Target="http://championstotal.com/" TargetMode="External"/><Relationship Id="rId1438" Type="http://schemas.openxmlformats.org/officeDocument/2006/relationships/hyperlink" Target="http://page.is/ppapanol" TargetMode="External"/><Relationship Id="rId1645" Type="http://schemas.openxmlformats.org/officeDocument/2006/relationships/hyperlink" Target="https://www.mediterraneodigital.com/espana/espana/ridiculo-apoteosico-pedro-sanchez-pide-reformar-la-constitucion-para-incluir-un-articulo-que-ya-existe.html" TargetMode="External"/><Relationship Id="rId3098" Type="http://schemas.openxmlformats.org/officeDocument/2006/relationships/hyperlink" Target="https://twitter.com/sanchezcastejon/status/1070667597375553541" TargetMode="External"/><Relationship Id="rId1200" Type="http://schemas.openxmlformats.org/officeDocument/2006/relationships/hyperlink" Target="https://www.abc.es/economia/abci-gobierno-aprueba-obligar-empresas-reciban-ayudas-mantener-actividad-y-otras-cuatro-noticias-201812071548_noticia.html" TargetMode="External"/><Relationship Id="rId1852" Type="http://schemas.openxmlformats.org/officeDocument/2006/relationships/hyperlink" Target="https://blogmiyares.blogspot.com/2018/12/pedro-sanchez-quiere-ganar-tiempo.html?spref=tw" TargetMode="External"/><Relationship Id="rId2903" Type="http://schemas.openxmlformats.org/officeDocument/2006/relationships/hyperlink" Target="http://manifiestouniversalista.blogspot.com/" TargetMode="External"/><Relationship Id="rId1505" Type="http://schemas.openxmlformats.org/officeDocument/2006/relationships/hyperlink" Target="https://www.libertaddigital.com/espana/2018-12-06/pedro-sanchez-desconoce-la-constitucion-pide-reformarla-para-incluir-la-igualdad-entre-hombres-y-mujeres-1276629507/" TargetMode="External"/><Relationship Id="rId1712" Type="http://schemas.openxmlformats.org/officeDocument/2006/relationships/hyperlink" Target="http://disq.us/t/39a282x" TargetMode="External"/><Relationship Id="rId3165" Type="http://schemas.openxmlformats.org/officeDocument/2006/relationships/hyperlink" Target="http://pic.twitter.com/wUKuS8oHy9" TargetMode="External"/><Relationship Id="rId3372" Type="http://schemas.openxmlformats.org/officeDocument/2006/relationships/hyperlink" Target="http://revista.lamardeonuba.es/tratado-de-utrecht-dos/" TargetMode="External"/><Relationship Id="rId293" Type="http://schemas.openxmlformats.org/officeDocument/2006/relationships/hyperlink" Target="https://blogs.elconfidencial.com/mundo/tribuna-internacional/2018-12-05/que-hay-detras-acuerdo-pedro-sanchez-xi-jinping_1683722/?utm_source=twitter&amp;utm_medium=social&amp;utm_campaign=BotoneraWeb" TargetMode="External"/><Relationship Id="rId2181" Type="http://schemas.openxmlformats.org/officeDocument/2006/relationships/hyperlink" Target="https://pbs.twimg.com/media/Dtx6fPYWsAESsGk.jpg" TargetMode="External"/><Relationship Id="rId3025" Type="http://schemas.openxmlformats.org/officeDocument/2006/relationships/hyperlink" Target="http://videos.elmundo.es/v/0_lwslz5du-abucheos-a-pedro-sanchez" TargetMode="External"/><Relationship Id="rId3232" Type="http://schemas.openxmlformats.org/officeDocument/2006/relationships/hyperlink" Target="https://www.periodistadigital.com/politica/gobierno/2018/07/31/la-guardia-civil-denuncia-pedro-sanchez-impide-investigar-a-los-golpistas-y-la-corrupcion-del-psoe.shtml" TargetMode="External"/><Relationship Id="rId153" Type="http://schemas.openxmlformats.org/officeDocument/2006/relationships/hyperlink" Target="https://www.lainformacion.com/deporte/pedro-sanchez-declinaria-una-invitacion-al-palco-del-bernabeu_JpGOGTl8TDZ7RF38KHhI96/?utm_source=twitter.com&amp;utm_medium=socialshare&amp;utm_campaign=desktop&amp;via=la_informacion" TargetMode="External"/><Relationship Id="rId360" Type="http://schemas.openxmlformats.org/officeDocument/2006/relationships/hyperlink" Target="http://www.tsf.pt/" TargetMode="External"/><Relationship Id="rId598" Type="http://schemas.openxmlformats.org/officeDocument/2006/relationships/hyperlink" Target="http://www.diario16.com/" TargetMode="External"/><Relationship Id="rId2041" Type="http://schemas.openxmlformats.org/officeDocument/2006/relationships/hyperlink" Target="https://pbs.twimg.com/media/Dty7-UVW0AAUvDI.jpg" TargetMode="External"/><Relationship Id="rId2279" Type="http://schemas.openxmlformats.org/officeDocument/2006/relationships/hyperlink" Target="https://elpais.com/politica/2018/12/06/actualidad/1544108922_690929.html" TargetMode="External"/><Relationship Id="rId2486" Type="http://schemas.openxmlformats.org/officeDocument/2006/relationships/hyperlink" Target="https://www.libertaddigital.com/espana/2018-12-06/pedro-sanchez-desconoce-la-constitucion-pide-reformarla-para-incluir-la-igualdad-entre-hombres-y-mujeres-1276629507/" TargetMode="External"/><Relationship Id="rId2693" Type="http://schemas.openxmlformats.org/officeDocument/2006/relationships/hyperlink" Target="http://www.aytosalamanca.es/" TargetMode="External"/><Relationship Id="rId220" Type="http://schemas.openxmlformats.org/officeDocument/2006/relationships/hyperlink" Target="http://bit.ly/2B0S6z6" TargetMode="External"/><Relationship Id="rId458" Type="http://schemas.openxmlformats.org/officeDocument/2006/relationships/hyperlink" Target="http://www.elmundo.es/catalunya.html" TargetMode="External"/><Relationship Id="rId665" Type="http://schemas.openxmlformats.org/officeDocument/2006/relationships/hyperlink" Target="https://pbs.twimg.com/media/Dt0doFfX4AEj6kd.jpg" TargetMode="External"/><Relationship Id="rId872" Type="http://schemas.openxmlformats.org/officeDocument/2006/relationships/hyperlink" Target="https://google.com/newsstand/s/CBIwkbyolT4" TargetMode="External"/><Relationship Id="rId1088" Type="http://schemas.openxmlformats.org/officeDocument/2006/relationships/hyperlink" Target="https://okdiario.com/espana/2018/12/07/pedro-sanchez-reformar-constitucion-incluir-igualdad-hombres-mujeres-articulo-14-desde-hace-40-anos-3437620" TargetMode="External"/><Relationship Id="rId1295" Type="http://schemas.openxmlformats.org/officeDocument/2006/relationships/hyperlink" Target="http://www.marca.com/2015/11/24/baloncesto/acb/1448340690.html?cid=SMBOSO34503&amp;s_kw=Twitter&amp;t=1544192170" TargetMode="External"/><Relationship Id="rId2139" Type="http://schemas.openxmlformats.org/officeDocument/2006/relationships/hyperlink" Target="http://ver.abc.es/twnsz2" TargetMode="External"/><Relationship Id="rId2346" Type="http://schemas.openxmlformats.org/officeDocument/2006/relationships/hyperlink" Target="https://www.eldiario.es/politica/Pedro-Sanchez-reforma-Constitucion-igualdad_0_843416144.html" TargetMode="External"/><Relationship Id="rId2553" Type="http://schemas.openxmlformats.org/officeDocument/2006/relationships/hyperlink" Target="http://flip.it/w6P3v9" TargetMode="External"/><Relationship Id="rId2760" Type="http://schemas.openxmlformats.org/officeDocument/2006/relationships/hyperlink" Target="https://m.eldiario.es/_32458250" TargetMode="External"/><Relationship Id="rId2998" Type="http://schemas.openxmlformats.org/officeDocument/2006/relationships/hyperlink" Target="https://elpais.com/politica/2018/12/04/actualidad/1543916726_658727.html" TargetMode="External"/><Relationship Id="rId318" Type="http://schemas.openxmlformats.org/officeDocument/2006/relationships/hyperlink" Target="https://www.cope.es/n/306196" TargetMode="External"/><Relationship Id="rId525" Type="http://schemas.openxmlformats.org/officeDocument/2006/relationships/hyperlink" Target="https://twitter.com/govern/status/1070715545622847488?s=19" TargetMode="External"/><Relationship Id="rId732" Type="http://schemas.openxmlformats.org/officeDocument/2006/relationships/hyperlink" Target="http://pic.twitter.com/HfWQxVGiXu" TargetMode="External"/><Relationship Id="rId1155" Type="http://schemas.openxmlformats.org/officeDocument/2006/relationships/hyperlink" Target="https://confidencialandaluz.com/tag/jose-manuel-sanchez-fornet/" TargetMode="External"/><Relationship Id="rId1362" Type="http://schemas.openxmlformats.org/officeDocument/2006/relationships/hyperlink" Target="https://www.politico.eu/list/politico-28-class-of-2019-the-ranking/pedro-sanchez/" TargetMode="External"/><Relationship Id="rId2206" Type="http://schemas.openxmlformats.org/officeDocument/2006/relationships/hyperlink" Target="https://www.abc.es/espana/abci-pedro-sanchez-llega-entre-abucheos-congreso-40-aniversario-constitucion-201812061227_noticia.html" TargetMode="External"/><Relationship Id="rId2413" Type="http://schemas.openxmlformats.org/officeDocument/2006/relationships/hyperlink" Target="http://www.multiforo.eu/" TargetMode="External"/><Relationship Id="rId2620" Type="http://schemas.openxmlformats.org/officeDocument/2006/relationships/hyperlink" Target="http://dlvr.it/Qt0jgl" TargetMode="External"/><Relationship Id="rId2858" Type="http://schemas.openxmlformats.org/officeDocument/2006/relationships/hyperlink" Target="http://pic.twitter.com/1B12v2Xwc4" TargetMode="External"/><Relationship Id="rId99" Type="http://schemas.openxmlformats.org/officeDocument/2006/relationships/hyperlink" Target="https://www.esdiario.com/238196932/El-verdadero-CIS-de-Pedro-Sanchez-otro-espectacular-abucheo-en-el-Congreso.html" TargetMode="External"/><Relationship Id="rId1015" Type="http://schemas.openxmlformats.org/officeDocument/2006/relationships/hyperlink" Target="https://okdiario.com/espana/2018/12/07/han-pasado-85-dias-demanda-pedro-sanchez-sigue-sin-llegar-3437752" TargetMode="External"/><Relationship Id="rId1222" Type="http://schemas.openxmlformats.org/officeDocument/2006/relationships/hyperlink" Target="https://www.eldiestro.es/2018/12/pedro-sanchez-demuestra-ser-un-ignorante-y-un-caradura-en-una-entrevista-concedida-a-el-pais/" TargetMode="External"/><Relationship Id="rId1667" Type="http://schemas.openxmlformats.org/officeDocument/2006/relationships/hyperlink" Target="https://www.elconfidencialdigital.com/articulo/politica/pedro-sanchez-amenaza-susana-diaz-repetir-operacion-acabo-tomas-gomez/20181205184900119027.html&amp;utm_source=social&amp;utm_medium=twitter&amp;utm_campaign=share_button" TargetMode="External"/><Relationship Id="rId1874" Type="http://schemas.openxmlformats.org/officeDocument/2006/relationships/hyperlink" Target="https://okdiario.com/espana/2018/12/07/pedro-sanchez-reformar-constitucion-incluir-igualdad-hombres-mujeres-articulo-14-desde-hace-40-anos-3437620?utm_campaign=ok&amp;utm_medium=Social&amp;utm_source=Facebook" TargetMode="External"/><Relationship Id="rId2718" Type="http://schemas.openxmlformats.org/officeDocument/2006/relationships/hyperlink" Target="https://noticierouniversal.com/destacadas/pedro-sanchez-borra-su-doctorado/" TargetMode="External"/><Relationship Id="rId2925" Type="http://schemas.openxmlformats.org/officeDocument/2006/relationships/hyperlink" Target="https://pbs.twimg.com/media/Dtv47MkVsAIJPfp.jpg" TargetMode="External"/><Relationship Id="rId1527" Type="http://schemas.openxmlformats.org/officeDocument/2006/relationships/hyperlink" Target="http://dlvr.it/Qt3V4V" TargetMode="External"/><Relationship Id="rId1734" Type="http://schemas.openxmlformats.org/officeDocument/2006/relationships/hyperlink" Target="https://elpais.com/elpais/2018/12/06/opinion/1544088368_944892.html" TargetMode="External"/><Relationship Id="rId1941" Type="http://schemas.openxmlformats.org/officeDocument/2006/relationships/hyperlink" Target="https://www.abc.es/espana/abci-pedro-sanchez-llega-entre-abucheos-congreso-40-aniversario-constitucion-201812061227_noticia.html" TargetMode="External"/><Relationship Id="rId3187" Type="http://schemas.openxmlformats.org/officeDocument/2006/relationships/hyperlink" Target="https://www.eldiario.es/politica/Pedro-Sanchez-Congreso-Dia-Constitucion_0_843415844.html" TargetMode="External"/><Relationship Id="rId3394" Type="http://schemas.openxmlformats.org/officeDocument/2006/relationships/hyperlink" Target="https://pbs.twimg.com/media/DtvCv7DXQAAhRZf.jpg" TargetMode="External"/><Relationship Id="rId26" Type="http://schemas.openxmlformats.org/officeDocument/2006/relationships/hyperlink" Target="http://www.pedrocastro.es/" TargetMode="External"/><Relationship Id="rId3047" Type="http://schemas.openxmlformats.org/officeDocument/2006/relationships/hyperlink" Target="http://www.es.viralizeed.com/" TargetMode="External"/><Relationship Id="rId175" Type="http://schemas.openxmlformats.org/officeDocument/2006/relationships/hyperlink" Target="https://pbs.twimg.com/media/Dt5q5F_XQAAn2pC.jpg" TargetMode="External"/><Relationship Id="rId1801" Type="http://schemas.openxmlformats.org/officeDocument/2006/relationships/hyperlink" Target="https://okdiario.com/espana/2018/12/07/pedro-sanchez-reformar-constitucion-incluir-igualdad-hombres-mujeres-articulo-14-desde-hace-40-anos-3437620" TargetMode="External"/><Relationship Id="rId3254" Type="http://schemas.openxmlformats.org/officeDocument/2006/relationships/hyperlink" Target="http://www.veoinfo.com/fuera-fuera-pitos-y-abucheos-a-pedro-sanchez-a-su-llegada-al-congreso-para-el-acto-del-dia-de-la-constitucion/" TargetMode="External"/><Relationship Id="rId382" Type="http://schemas.openxmlformats.org/officeDocument/2006/relationships/hyperlink" Target="https://www.mediterraneodigital.com/espana/espana/ridiculo-apoteosico-pedro-sanchez-pide-reformar-la-constitucion-para-incluir-un-articulo-que-ya-existe.html" TargetMode="External"/><Relationship Id="rId687" Type="http://schemas.openxmlformats.org/officeDocument/2006/relationships/hyperlink" Target="https://pbs.twimg.com/media/Dt1m9r6WwAEYBCg.jpg" TargetMode="External"/><Relationship Id="rId2063" Type="http://schemas.openxmlformats.org/officeDocument/2006/relationships/hyperlink" Target="https://okdiario.com/espana/2018/12/07/pedro-sanchez-reformar-constitucion-incluir-igualdad-hombres-mujeres-articulo-14-desde-hace-40-anos-3437620" TargetMode="External"/><Relationship Id="rId2270" Type="http://schemas.openxmlformats.org/officeDocument/2006/relationships/hyperlink" Target="https://www.libertaddigital.com/espana/politica/2018-12-06/abuheo-general-a-pedro-sanchez-convoca-elecciones-1276629479/" TargetMode="External"/><Relationship Id="rId2368" Type="http://schemas.openxmlformats.org/officeDocument/2006/relationships/hyperlink" Target="http://pic.twitter.com/MfYl7CXC7E" TargetMode="External"/><Relationship Id="rId3114" Type="http://schemas.openxmlformats.org/officeDocument/2006/relationships/hyperlink" Target="https://www.20minutos.es/noticia/3510387/0/abucheos-pedro-sanchez-congreso-aniversario-constitucion/?utm_source=twitter.com&amp;utm_medium=socialshare&amp;utm_campaign=mobile_amp" TargetMode="External"/><Relationship Id="rId3321" Type="http://schemas.openxmlformats.org/officeDocument/2006/relationships/hyperlink" Target="https://youtu.be/C4hpa5dCKAo" TargetMode="External"/><Relationship Id="rId242" Type="http://schemas.openxmlformats.org/officeDocument/2006/relationships/hyperlink" Target="https://www.esdiario.com/191195313/Sanchez-arruina-la-confianza-economica-de-los-espanoles-en-tiempo-record.html" TargetMode="External"/><Relationship Id="rId894" Type="http://schemas.openxmlformats.org/officeDocument/2006/relationships/hyperlink" Target="https://www.20minutos.es/noticia/3510577/0/pedro-sanchez-reforma-constitucion/?utm_source=twitter.com&amp;utm_medium=socialshare&amp;utm_campaign=desktop" TargetMode="External"/><Relationship Id="rId1177" Type="http://schemas.openxmlformats.org/officeDocument/2006/relationships/hyperlink" Target="http://page.is/alfred-martin" TargetMode="External"/><Relationship Id="rId2130" Type="http://schemas.openxmlformats.org/officeDocument/2006/relationships/hyperlink" Target="https://droneveracruz.com/pedro-sanchez-levanta-el-control-de-las-cuentas-de-la-generalitat-de-cataluna" TargetMode="External"/><Relationship Id="rId2575" Type="http://schemas.openxmlformats.org/officeDocument/2006/relationships/hyperlink" Target="http://flip.it/Eudtxu" TargetMode="External"/><Relationship Id="rId2782" Type="http://schemas.openxmlformats.org/officeDocument/2006/relationships/hyperlink" Target="https://pbs.twimg.com/media/Dtv1QAQXcAA30IP.jpg" TargetMode="External"/><Relationship Id="rId3419" Type="http://schemas.openxmlformats.org/officeDocument/2006/relationships/hyperlink" Target="https://www.facebook.com/100009437043262/posts/2320173568307189/" TargetMode="External"/><Relationship Id="rId102" Type="http://schemas.openxmlformats.org/officeDocument/2006/relationships/hyperlink" Target="http://lavoz.gal/pjfwd1" TargetMode="External"/><Relationship Id="rId547" Type="http://schemas.openxmlformats.org/officeDocument/2006/relationships/hyperlink" Target="http://biblioteca.upcomillas.es/digital/abnetopac.exe?TITN=575946" TargetMode="External"/><Relationship Id="rId754" Type="http://schemas.openxmlformats.org/officeDocument/2006/relationships/hyperlink" Target="http://page.is/larevuelo53" TargetMode="External"/><Relationship Id="rId961" Type="http://schemas.openxmlformats.org/officeDocument/2006/relationships/hyperlink" Target="https://www.facebook.com/100001969794620/posts/1946112115464429/" TargetMode="External"/><Relationship Id="rId1384" Type="http://schemas.openxmlformats.org/officeDocument/2006/relationships/hyperlink" Target="https://bit.ly/2QDwfY5" TargetMode="External"/><Relationship Id="rId1591" Type="http://schemas.openxmlformats.org/officeDocument/2006/relationships/hyperlink" Target="https://okdiario.com/espana/2018/12/07/pedro-sanchez-reformar-constitucion-incluir-igualdad-hombres-mujeres-articulo-14-desde-hace-40-anos-3437620" TargetMode="External"/><Relationship Id="rId1689" Type="http://schemas.openxmlformats.org/officeDocument/2006/relationships/hyperlink" Target="https://twiter.com/agrnineta" TargetMode="External"/><Relationship Id="rId2228" Type="http://schemas.openxmlformats.org/officeDocument/2006/relationships/hyperlink" Target="http://pic.twitter.com/VETzkgGLsl" TargetMode="External"/><Relationship Id="rId2435" Type="http://schemas.openxmlformats.org/officeDocument/2006/relationships/hyperlink" Target="http://www.salvararchivosalamanca.es/" TargetMode="External"/><Relationship Id="rId2642" Type="http://schemas.openxmlformats.org/officeDocument/2006/relationships/hyperlink" Target="https://www.libertaddigital.com/espana/2018-12-06/pedro-sanchez-descarta-elecciones-en-marzo-pero-abre-la-puerta-a-mayo-1276629489/" TargetMode="External"/><Relationship Id="rId90" Type="http://schemas.openxmlformats.org/officeDocument/2006/relationships/hyperlink" Target="http://pic.twitter.com/GtXp1o9Bt6" TargetMode="External"/><Relationship Id="rId407" Type="http://schemas.openxmlformats.org/officeDocument/2006/relationships/hyperlink" Target="https://okdiario.com/espana/2018/12/07/pedro-sanchez-reformar-constitucion-incluir-igualdad-hombres-mujeres-articulo-14-desde-hace-40-anos-3437620?utm_campaign=ok&amp;utm_medium=Social&amp;utm_source=Facebook" TargetMode="External"/><Relationship Id="rId614" Type="http://schemas.openxmlformats.org/officeDocument/2006/relationships/hyperlink" Target="http://www.elcato.org/" TargetMode="External"/><Relationship Id="rId821" Type="http://schemas.openxmlformats.org/officeDocument/2006/relationships/hyperlink" Target="https://pbs.twimg.com/media/Dt0diKTW0AEzxHl.jpg" TargetMode="External"/><Relationship Id="rId1037" Type="http://schemas.openxmlformats.org/officeDocument/2006/relationships/hyperlink" Target="https://pbs.twimg.com/media/Dt1LgBxX4AEbIJ3.jpg" TargetMode="External"/><Relationship Id="rId1244" Type="http://schemas.openxmlformats.org/officeDocument/2006/relationships/hyperlink" Target="http://www.multiforo.eu/" TargetMode="External"/><Relationship Id="rId1451" Type="http://schemas.openxmlformats.org/officeDocument/2006/relationships/hyperlink" Target="http://www.madridactual.es/deportes-madrid/" TargetMode="External"/><Relationship Id="rId1896" Type="http://schemas.openxmlformats.org/officeDocument/2006/relationships/hyperlink" Target="http://www.madrid.org/fp" TargetMode="External"/><Relationship Id="rId2502" Type="http://schemas.openxmlformats.org/officeDocument/2006/relationships/hyperlink" Target="http://www.europasur.es/" TargetMode="External"/><Relationship Id="rId2947" Type="http://schemas.openxmlformats.org/officeDocument/2006/relationships/hyperlink" Target="https://www.huffingtonpost.es/2018/12/06/las-cortes-acogen-con-una-ovacion-al-rey-juan-carlos-y-con-abucheos-a-sanchez_a_23610458/?utm_hp_ref=es-homepage" TargetMode="External"/><Relationship Id="rId919" Type="http://schemas.openxmlformats.org/officeDocument/2006/relationships/hyperlink" Target="https://twitter.com/sanchezcastejon/status/1071070921090314240" TargetMode="External"/><Relationship Id="rId1104" Type="http://schemas.openxmlformats.org/officeDocument/2006/relationships/hyperlink" Target="http://www.estadiodeportivo.com/" TargetMode="External"/><Relationship Id="rId1311" Type="http://schemas.openxmlformats.org/officeDocument/2006/relationships/hyperlink" Target="http://www.eurosport.es/" TargetMode="External"/><Relationship Id="rId1549" Type="http://schemas.openxmlformats.org/officeDocument/2006/relationships/hyperlink" Target="http://miparroquiadepapel.blogspot.com/" TargetMode="External"/><Relationship Id="rId1756" Type="http://schemas.openxmlformats.org/officeDocument/2006/relationships/hyperlink" Target="http://www.asociacionmundosolidariosport.org/" TargetMode="External"/><Relationship Id="rId1963" Type="http://schemas.openxmlformats.org/officeDocument/2006/relationships/hyperlink" Target="http://enrique2311.wordpress.com/" TargetMode="External"/><Relationship Id="rId2807" Type="http://schemas.openxmlformats.org/officeDocument/2006/relationships/hyperlink" Target="https://pbs.twimg.com/media/DtwJVh4XgAEoQ3v.jpg" TargetMode="External"/><Relationship Id="rId48" Type="http://schemas.openxmlformats.org/officeDocument/2006/relationships/hyperlink" Target="http://www.abc.es/" TargetMode="External"/><Relationship Id="rId1409" Type="http://schemas.openxmlformats.org/officeDocument/2006/relationships/hyperlink" Target="http://www.eleconomista.es/autor/Francisco-de-la-Torre-Diaz" TargetMode="External"/><Relationship Id="rId1616" Type="http://schemas.openxmlformats.org/officeDocument/2006/relationships/hyperlink" Target="https://twitter.com/Schuma78/status/1070999672238587905" TargetMode="External"/><Relationship Id="rId1823" Type="http://schemas.openxmlformats.org/officeDocument/2006/relationships/hyperlink" Target="http://medium.com/@carmenheras" TargetMode="External"/><Relationship Id="rId3069" Type="http://schemas.openxmlformats.org/officeDocument/2006/relationships/hyperlink" Target="http://www.infoheaders.com/" TargetMode="External"/><Relationship Id="rId3276" Type="http://schemas.openxmlformats.org/officeDocument/2006/relationships/hyperlink" Target="https://www.elcorreo.com/40-aniversario-constitucion/pedro-sanchez-lleva-20181206123919-ntrc.html?edtn=alava" TargetMode="External"/><Relationship Id="rId197" Type="http://schemas.openxmlformats.org/officeDocument/2006/relationships/hyperlink" Target="https://www.elmatinal.com/actualidad/pedro-sanchez-reconocera-cataluna-como-nacion-a-cambio-de-que-los-independentistas-acepten-los-presupuestos/" TargetMode="External"/><Relationship Id="rId2085" Type="http://schemas.openxmlformats.org/officeDocument/2006/relationships/hyperlink" Target="https://www.zapper.news/news" TargetMode="External"/><Relationship Id="rId2292" Type="http://schemas.openxmlformats.org/officeDocument/2006/relationships/hyperlink" Target="https://twitter.com/societatcc/status/1070621999649746944" TargetMode="External"/><Relationship Id="rId3136" Type="http://schemas.openxmlformats.org/officeDocument/2006/relationships/hyperlink" Target="https://www.leonoticias.com/comarcas/podemos-lleva-congreso-20181205202702-nt.html" TargetMode="External"/><Relationship Id="rId3343" Type="http://schemas.openxmlformats.org/officeDocument/2006/relationships/hyperlink" Target="http://elconfidencial.com/" TargetMode="External"/><Relationship Id="rId264" Type="http://schemas.openxmlformats.org/officeDocument/2006/relationships/hyperlink" Target="https://ciudadrealdigital.es/noticias/52350/Pedro/Sanchez/Las/victimas/han/sido/y/son/el/bastion/moral/de/nuestras/libertades" TargetMode="External"/><Relationship Id="rId471" Type="http://schemas.openxmlformats.org/officeDocument/2006/relationships/hyperlink" Target="https://twitter.com/TarragonaCdr/status/1071316887919882240" TargetMode="External"/><Relationship Id="rId2152" Type="http://schemas.openxmlformats.org/officeDocument/2006/relationships/hyperlink" Target="http://epmundo.com/2018/descontentos-asi-recibieron-a-pedro-sanchez-en-el-congreso-video/?utm_source=twitter&amp;utm_medium=social&amp;utm_campaign=ReviveOldPost" TargetMode="External"/><Relationship Id="rId2597" Type="http://schemas.openxmlformats.org/officeDocument/2006/relationships/hyperlink" Target="https://vimeo.com/166331209" TargetMode="External"/><Relationship Id="rId124" Type="http://schemas.openxmlformats.org/officeDocument/2006/relationships/hyperlink" Target="http://revista.lamardeonuba.es/tratado-de-utrecht-dos/" TargetMode="External"/><Relationship Id="rId569" Type="http://schemas.openxmlformats.org/officeDocument/2006/relationships/hyperlink" Target="http://lasteles.com/es/index.php" TargetMode="External"/><Relationship Id="rId776" Type="http://schemas.openxmlformats.org/officeDocument/2006/relationships/hyperlink" Target="https://www.elmundo.es/cataluna/2018/12/07/5c0acd4efdddffcfa28b45bf.html" TargetMode="External"/><Relationship Id="rId983" Type="http://schemas.openxmlformats.org/officeDocument/2006/relationships/hyperlink" Target="http://shr.gs/k83WNfQ" TargetMode="External"/><Relationship Id="rId1199" Type="http://schemas.openxmlformats.org/officeDocument/2006/relationships/hyperlink" Target="https://goo.gl/YmsCqd" TargetMode="External"/><Relationship Id="rId2457" Type="http://schemas.openxmlformats.org/officeDocument/2006/relationships/hyperlink" Target="https://www.libertaddigital.com/espana/2018-12-06/pedro-sanchez-desconoce-la-constitucion-pide-reformarla-para-incluir-la-igualdad-entre-hombres-y-mujeres-1276629507/" TargetMode="External"/><Relationship Id="rId2664" Type="http://schemas.openxmlformats.org/officeDocument/2006/relationships/hyperlink" Target="http://www.manabi.gob.ec/" TargetMode="External"/><Relationship Id="rId3203" Type="http://schemas.openxmlformats.org/officeDocument/2006/relationships/hyperlink" Target="http://www.bet365.es/" TargetMode="External"/><Relationship Id="rId3410" Type="http://schemas.openxmlformats.org/officeDocument/2006/relationships/hyperlink" Target="http://www.aipop.org/" TargetMode="External"/><Relationship Id="rId331" Type="http://schemas.openxmlformats.org/officeDocument/2006/relationships/hyperlink" Target="http://epmundo.com/" TargetMode="External"/><Relationship Id="rId429" Type="http://schemas.openxmlformats.org/officeDocument/2006/relationships/hyperlink" Target="https://pbs.twimg.com/media/Dt4x08iXQAAZw02.jpg" TargetMode="External"/><Relationship Id="rId636" Type="http://schemas.openxmlformats.org/officeDocument/2006/relationships/hyperlink" Target="https://www.youtube.com/watch?v=IZfcG0rPxrs" TargetMode="External"/><Relationship Id="rId1059" Type="http://schemas.openxmlformats.org/officeDocument/2006/relationships/hyperlink" Target="https://ciudadrealdigital.es/noticias/52339/El/Gobierno/de/Pedro/Sanchez/aprueba/el/Plan/de/Choque/por/el/Empleo/Joven/2019_2021" TargetMode="External"/><Relationship Id="rId1266" Type="http://schemas.openxmlformats.org/officeDocument/2006/relationships/hyperlink" Target="https://twitter.com/cmgorriaran/status/1071047171657658368" TargetMode="External"/><Relationship Id="rId1473" Type="http://schemas.openxmlformats.org/officeDocument/2006/relationships/hyperlink" Target="https://pbs.twimg.com/media/Dt0KtwvXgAEJ_4U.jpg" TargetMode="External"/><Relationship Id="rId2012" Type="http://schemas.openxmlformats.org/officeDocument/2006/relationships/hyperlink" Target="https://paper.li/diarioelcambio/1484511328" TargetMode="External"/><Relationship Id="rId2317" Type="http://schemas.openxmlformats.org/officeDocument/2006/relationships/hyperlink" Target="https://twitter.com/sanchezcastejon/status/1070736196228317184" TargetMode="External"/><Relationship Id="rId2871" Type="http://schemas.openxmlformats.org/officeDocument/2006/relationships/hyperlink" Target="http://periodistadigital.com/" TargetMode="External"/><Relationship Id="rId2969" Type="http://schemas.openxmlformats.org/officeDocument/2006/relationships/hyperlink" Target="https://pbs.twimg.com/media/DtvxKUdXQAAiNTi.jpg" TargetMode="External"/><Relationship Id="rId843" Type="http://schemas.openxmlformats.org/officeDocument/2006/relationships/hyperlink" Target="https://twitter.com/AntonioRNaranjo/status/1071040756461289472" TargetMode="External"/><Relationship Id="rId1126" Type="http://schemas.openxmlformats.org/officeDocument/2006/relationships/hyperlink" Target="https://ift.tt/2Um3iz0" TargetMode="External"/><Relationship Id="rId1680" Type="http://schemas.openxmlformats.org/officeDocument/2006/relationships/hyperlink" Target="https://www.eldiario.es/politica/Pedro-Sanchez-Casado-Rivera-electoral_0_843416123.html" TargetMode="External"/><Relationship Id="rId1778" Type="http://schemas.openxmlformats.org/officeDocument/2006/relationships/hyperlink" Target="https://twitter.com/sanchezcastejon/status/1070736196228317184" TargetMode="External"/><Relationship Id="rId1985" Type="http://schemas.openxmlformats.org/officeDocument/2006/relationships/hyperlink" Target="http://epmundo.com/2018/descontentos-asi-recibieron-a-pedro-sanchez-en-el-congreso-video/" TargetMode="External"/><Relationship Id="rId2524" Type="http://schemas.openxmlformats.org/officeDocument/2006/relationships/hyperlink" Target="https://goo.gl/EhVPjq" TargetMode="External"/><Relationship Id="rId2731" Type="http://schemas.openxmlformats.org/officeDocument/2006/relationships/hyperlink" Target="https://www.eldiario.es/politica/Pedro-Sanchez-reforma-Constitucion-igualdad_0_843416144.html" TargetMode="External"/><Relationship Id="rId2829" Type="http://schemas.openxmlformats.org/officeDocument/2006/relationships/hyperlink" Target="http://www.lasexta.com/elintermedio" TargetMode="External"/><Relationship Id="rId703" Type="http://schemas.openxmlformats.org/officeDocument/2006/relationships/hyperlink" Target="https://pbs.twimg.com/media/Dt2dOQ_W0AYKEw5.jpg" TargetMode="External"/><Relationship Id="rId910" Type="http://schemas.openxmlformats.org/officeDocument/2006/relationships/hyperlink" Target="http://blogmiyares.blogspot.com/" TargetMode="External"/><Relationship Id="rId1333" Type="http://schemas.openxmlformats.org/officeDocument/2006/relationships/hyperlink" Target="https://goo.gl/EhVPjq" TargetMode="External"/><Relationship Id="rId1540" Type="http://schemas.openxmlformats.org/officeDocument/2006/relationships/hyperlink" Target="https://goo.gl/fb/2DDLkK" TargetMode="External"/><Relationship Id="rId1638" Type="http://schemas.openxmlformats.org/officeDocument/2006/relationships/hyperlink" Target="https://www.cope.es/n/306196" TargetMode="External"/><Relationship Id="rId1400" Type="http://schemas.openxmlformats.org/officeDocument/2006/relationships/hyperlink" Target="http://labuenafm.net/" TargetMode="External"/><Relationship Id="rId1845" Type="http://schemas.openxmlformats.org/officeDocument/2006/relationships/hyperlink" Target="http://inmoavery.com/" TargetMode="External"/><Relationship Id="rId3060" Type="http://schemas.openxmlformats.org/officeDocument/2006/relationships/hyperlink" Target="https://bit.ly/2UlR2i8" TargetMode="External"/><Relationship Id="rId3298" Type="http://schemas.openxmlformats.org/officeDocument/2006/relationships/hyperlink" Target="https://www.abc.es/espana/abci-pedro-sanchez-llega-entre-abucheos-congreso-40-aniversario-constitucion-201812061227_noticia_amp.html" TargetMode="External"/><Relationship Id="rId1705" Type="http://schemas.openxmlformats.org/officeDocument/2006/relationships/hyperlink" Target="https://www.libertaddigital.com/espana/2018-12-06/pedro-sanchez-desconoce-la-constitucion-pide-reformarla-para-incluir-la-igualdad-entre-hombres-y-mujeres-1276629507/" TargetMode="External"/><Relationship Id="rId1912" Type="http://schemas.openxmlformats.org/officeDocument/2006/relationships/hyperlink" Target="http://www.fmujeresprogresistas.org/" TargetMode="External"/><Relationship Id="rId3158" Type="http://schemas.openxmlformats.org/officeDocument/2006/relationships/hyperlink" Target="https://elmunicipio.es/2018/12/tremenda-pitada-a-pedro-sanchez/" TargetMode="External"/><Relationship Id="rId3365" Type="http://schemas.openxmlformats.org/officeDocument/2006/relationships/hyperlink" Target="http://blogtwiteoeltocuyo.blogspot.com/2018/12/abucheos-para-pedro-sanchez-y-aplausos.html" TargetMode="External"/><Relationship Id="rId286" Type="http://schemas.openxmlformats.org/officeDocument/2006/relationships/hyperlink" Target="http://www.guadanews.es/" TargetMode="External"/><Relationship Id="rId493" Type="http://schemas.openxmlformats.org/officeDocument/2006/relationships/hyperlink" Target="http://elasterisco.es/" TargetMode="External"/><Relationship Id="rId2174" Type="http://schemas.openxmlformats.org/officeDocument/2006/relationships/hyperlink" Target="https://pbs.twimg.com/media/DtwLoMtXQAIkp7L.jpg" TargetMode="External"/><Relationship Id="rId2381" Type="http://schemas.openxmlformats.org/officeDocument/2006/relationships/hyperlink" Target="http://www.sumarium.es/" TargetMode="External"/><Relationship Id="rId3018" Type="http://schemas.openxmlformats.org/officeDocument/2006/relationships/hyperlink" Target="https://pbs.twimg.com/media/Dtvsb4EWsAAZSMe.jpg" TargetMode="External"/><Relationship Id="rId3225" Type="http://schemas.openxmlformats.org/officeDocument/2006/relationships/hyperlink" Target="https://pbs.twimg.com/media/DtvUjNdXQAEY-aD.jpg" TargetMode="External"/><Relationship Id="rId3432" Type="http://schemas.openxmlformats.org/officeDocument/2006/relationships/hyperlink" Target="http://jabuedo.typepad.com/aires_de_la_parra" TargetMode="External"/><Relationship Id="rId146" Type="http://schemas.openxmlformats.org/officeDocument/2006/relationships/hyperlink" Target="http://dlvr.it/Qt81XF" TargetMode="External"/><Relationship Id="rId353" Type="http://schemas.openxmlformats.org/officeDocument/2006/relationships/hyperlink" Target="https://pbs.twimg.com/media/Dt5Cd2aXcAEN1B5.jpg" TargetMode="External"/><Relationship Id="rId560" Type="http://schemas.openxmlformats.org/officeDocument/2006/relationships/hyperlink" Target="http://j.mp/2rpCMY8" TargetMode="External"/><Relationship Id="rId798" Type="http://schemas.openxmlformats.org/officeDocument/2006/relationships/hyperlink" Target="https://twitter.com/monseg97/status/1071136748376334338" TargetMode="External"/><Relationship Id="rId1190" Type="http://schemas.openxmlformats.org/officeDocument/2006/relationships/hyperlink" Target="http://page.is/alfred-martin" TargetMode="External"/><Relationship Id="rId2034" Type="http://schemas.openxmlformats.org/officeDocument/2006/relationships/hyperlink" Target="https://www.eldiario.es/_3245823b" TargetMode="External"/><Relationship Id="rId2241" Type="http://schemas.openxmlformats.org/officeDocument/2006/relationships/hyperlink" Target="https://okdiario.com/espana/2018/12/07/han-pasado-85-dias-demanda-pedro-sanchez-sigue-sin-llegar-3437752?utm_term=Autofeed&amp;utm_campaign=ok&amp;utm_medium=Social&amp;utm_source=Twitter" TargetMode="External"/><Relationship Id="rId2479" Type="http://schemas.openxmlformats.org/officeDocument/2006/relationships/hyperlink" Target="https://www.libertaddigital.com/espana/2018-12-06/pedro-sanchez-desconoce-la-constitucion-pide-reformarla-para-incluir-la-igualdad-entre-hombres-y-mujeres-1276629507/" TargetMode="External"/><Relationship Id="rId2686" Type="http://schemas.openxmlformats.org/officeDocument/2006/relationships/hyperlink" Target="http://www.sipepol.es/" TargetMode="External"/><Relationship Id="rId2893" Type="http://schemas.openxmlformats.org/officeDocument/2006/relationships/hyperlink" Target="https://twiter.com/agrnineta" TargetMode="External"/><Relationship Id="rId213" Type="http://schemas.openxmlformats.org/officeDocument/2006/relationships/hyperlink" Target="https://trib.al/LwCH3mK" TargetMode="External"/><Relationship Id="rId420" Type="http://schemas.openxmlformats.org/officeDocument/2006/relationships/hyperlink" Target="https://pbs.twimg.com/media/Dt4g_VXW4AAftMO.jpg" TargetMode="External"/><Relationship Id="rId658" Type="http://schemas.openxmlformats.org/officeDocument/2006/relationships/hyperlink" Target="http://epmundo.com/" TargetMode="External"/><Relationship Id="rId865" Type="http://schemas.openxmlformats.org/officeDocument/2006/relationships/hyperlink" Target="https://pbs.twimg.com/media/Dt1vSXVWkAARFE7.jpg" TargetMode="External"/><Relationship Id="rId1050" Type="http://schemas.openxmlformats.org/officeDocument/2006/relationships/hyperlink" Target="https://pbs.twimg.com/media/Dt1KUMEW0AET9Lk.jpg" TargetMode="External"/><Relationship Id="rId1288" Type="http://schemas.openxmlformats.org/officeDocument/2006/relationships/hyperlink" Target="https://twitter.com/DaniPintoB/status/1070999035635486722" TargetMode="External"/><Relationship Id="rId1495" Type="http://schemas.openxmlformats.org/officeDocument/2006/relationships/hyperlink" Target="https://www.eldiario.es/_3245823b" TargetMode="External"/><Relationship Id="rId2101" Type="http://schemas.openxmlformats.org/officeDocument/2006/relationships/hyperlink" Target="https://elpais.com/politica/2018/12/04/actualidad/1543916726_658727.html?id_externo_rsoc=TW_CC" TargetMode="External"/><Relationship Id="rId2339" Type="http://schemas.openxmlformats.org/officeDocument/2006/relationships/hyperlink" Target="https://m.eldiario.es/_3245823b" TargetMode="External"/><Relationship Id="rId2546" Type="http://schemas.openxmlformats.org/officeDocument/2006/relationships/hyperlink" Target="https://www.libertaddigital.com/espana/2018-12-06/pedro-sanchez-desconoce-la-constitucion-pide-reformarla-para-incluir-la-igualdad-entre-hombres-y-mujeres-1276629507/" TargetMode="External"/><Relationship Id="rId2753" Type="http://schemas.openxmlformats.org/officeDocument/2006/relationships/hyperlink" Target="https://m.eldiario.es/politica/Pedro-Sanchez-reforma-Constitucion-igualdad_0_843416144.html" TargetMode="External"/><Relationship Id="rId2960" Type="http://schemas.openxmlformats.org/officeDocument/2006/relationships/hyperlink" Target="https://comopunos2.blogspot.com/2018/12/la-gran-oportunidad-Pedro-Sanchez-Susana-Diaz-Andaluzas-Elecciones.html?m=1" TargetMode="External"/><Relationship Id="rId518" Type="http://schemas.openxmlformats.org/officeDocument/2006/relationships/hyperlink" Target="https://pbs.twimg.com/media/DtzCD4-WkAA3u8I.jpg" TargetMode="External"/><Relationship Id="rId725" Type="http://schemas.openxmlformats.org/officeDocument/2006/relationships/hyperlink" Target="https://www.publico.es/politica/presupuestos-generales-2019-sanchez-2-abril-convocar-elecciones-esperar-otono.html?utm_source=twitter&amp;utm_medium=social&amp;utm_campaign=publico" TargetMode="External"/><Relationship Id="rId932" Type="http://schemas.openxmlformats.org/officeDocument/2006/relationships/hyperlink" Target="https://pbs.twimg.com/media/Dt1ewytXcAY9Icf.jpg" TargetMode="External"/><Relationship Id="rId1148" Type="http://schemas.openxmlformats.org/officeDocument/2006/relationships/hyperlink" Target="http://avpodcast.net/" TargetMode="External"/><Relationship Id="rId1355" Type="http://schemas.openxmlformats.org/officeDocument/2006/relationships/hyperlink" Target="http://chng.it/cXYwvdXW" TargetMode="External"/><Relationship Id="rId1562" Type="http://schemas.openxmlformats.org/officeDocument/2006/relationships/hyperlink" Target="https://pbs.twimg.com/media/DtwD3bhX4AA_qWG.jpg" TargetMode="External"/><Relationship Id="rId2406" Type="http://schemas.openxmlformats.org/officeDocument/2006/relationships/hyperlink" Target="https://pbs.twimg.com/media/Dtw2BsdVYAArUgH.jpg" TargetMode="External"/><Relationship Id="rId2613" Type="http://schemas.openxmlformats.org/officeDocument/2006/relationships/hyperlink" Target="https://www.esdiario.com/238196932/El-verdadero-CIS-de-Pedro-Sanchez-otro-espectacular-abucheo-en-el-Congreso.html" TargetMode="External"/><Relationship Id="rId1008" Type="http://schemas.openxmlformats.org/officeDocument/2006/relationships/hyperlink" Target="https://www.eldiario.es/politica/Gobierno-distancias-independentistas-PSOE-Andalucia_0_843066462.html" TargetMode="External"/><Relationship Id="rId1215" Type="http://schemas.openxmlformats.org/officeDocument/2006/relationships/hyperlink" Target="https://pbs.twimg.com/media/Dt0qWIlWsAAWHVb.jpg" TargetMode="External"/><Relationship Id="rId1422" Type="http://schemas.openxmlformats.org/officeDocument/2006/relationships/hyperlink" Target="https://www.libertaddigital.com/espana/2018-12-07/mitin-contra-vox-de-celaa-desde-moncloa-da-instrucciones-a-pp-y-cs-para-que-no-pacten-con-ellos-1276629533/" TargetMode="External"/><Relationship Id="rId1867" Type="http://schemas.openxmlformats.org/officeDocument/2006/relationships/hyperlink" Target="http://ow.ly/egvQ30mTqNr" TargetMode="External"/><Relationship Id="rId2820" Type="http://schemas.openxmlformats.org/officeDocument/2006/relationships/hyperlink" Target="http://www.esdiario.com/" TargetMode="External"/><Relationship Id="rId2918" Type="http://schemas.openxmlformats.org/officeDocument/2006/relationships/hyperlink" Target="https://twitter.com/CiudadanosCs/status/1070637898142240768" TargetMode="External"/><Relationship Id="rId61" Type="http://schemas.openxmlformats.org/officeDocument/2006/relationships/hyperlink" Target="https://www.libertaddigital.com/espana/2018-12-08/pedro-sanchez-dice-que-pp-y-cs-no-pueden-ser-pro-europeos-y-apoyarse-en-vox-1276629582/" TargetMode="External"/><Relationship Id="rId1727" Type="http://schemas.openxmlformats.org/officeDocument/2006/relationships/hyperlink" Target="http://www.itsduero.es/blog/index.php/2018/11/el-gobierno-de-pedro-sanchez-obligara-a-las-empresas-a-registrar-la-jornada-que-realice-cada-empleado/" TargetMode="External"/><Relationship Id="rId1934" Type="http://schemas.openxmlformats.org/officeDocument/2006/relationships/hyperlink" Target="https://www.20minutos.es/noticia/3510387/0/abucheos-pedro-sanchez-congreso-aniversario-constitucion/" TargetMode="External"/><Relationship Id="rId3082" Type="http://schemas.openxmlformats.org/officeDocument/2006/relationships/hyperlink" Target="http://elnietodelpalomista.blogspot.com.es/" TargetMode="External"/><Relationship Id="rId3387" Type="http://schemas.openxmlformats.org/officeDocument/2006/relationships/hyperlink" Target="http://www.novomedinilla.com/?m=1" TargetMode="External"/><Relationship Id="rId19" Type="http://schemas.openxmlformats.org/officeDocument/2006/relationships/hyperlink" Target="https://pbs.twimg.com/media/Dt6Hpi0WkAE8dwu.jpg" TargetMode="External"/><Relationship Id="rId2196" Type="http://schemas.openxmlformats.org/officeDocument/2006/relationships/hyperlink" Target="https://pbs.twimg.com/media/DtxrhEuW0AEtLxE.jpg" TargetMode="External"/><Relationship Id="rId168" Type="http://schemas.openxmlformats.org/officeDocument/2006/relationships/hyperlink" Target="https://pbs.twimg.com/media/Dt5sm23XcAASVFG.jpg" TargetMode="External"/><Relationship Id="rId3247" Type="http://schemas.openxmlformats.org/officeDocument/2006/relationships/hyperlink" Target="http://www.josesimongracia.es/" TargetMode="External"/><Relationship Id="rId375" Type="http://schemas.openxmlformats.org/officeDocument/2006/relationships/hyperlink" Target="https://twitter.com/WyomingAgain/status/1070803140348387328" TargetMode="External"/><Relationship Id="rId582" Type="http://schemas.openxmlformats.org/officeDocument/2006/relationships/hyperlink" Target="http://www.periodistadigital.com/" TargetMode="External"/><Relationship Id="rId2056" Type="http://schemas.openxmlformats.org/officeDocument/2006/relationships/hyperlink" Target="https://okdiario.com/espana/2018/12/07/pedro-sanchez-reformar-constitucion-incluir-igualdad-hombres-mujeres-articulo-14-desde-hace-40-anos-3437620" TargetMode="External"/><Relationship Id="rId2263" Type="http://schemas.openxmlformats.org/officeDocument/2006/relationships/hyperlink" Target="https://youtu.be/gv_jRz3b6uQ" TargetMode="External"/><Relationship Id="rId2470" Type="http://schemas.openxmlformats.org/officeDocument/2006/relationships/hyperlink" Target="http://www.multiforo.eu/" TargetMode="External"/><Relationship Id="rId3107" Type="http://schemas.openxmlformats.org/officeDocument/2006/relationships/hyperlink" Target="https://www.elespanol.com/espana/politica/20181206/abucheos-pitos-pedro-sanchez-puertas-congreso/358714535_0.html" TargetMode="External"/><Relationship Id="rId3314" Type="http://schemas.openxmlformats.org/officeDocument/2006/relationships/hyperlink" Target="http://www.sumarium.es/" TargetMode="External"/><Relationship Id="rId3" Type="http://schemas.openxmlformats.org/officeDocument/2006/relationships/hyperlink" Target="http://www.twiter.com/daviddonji" TargetMode="External"/><Relationship Id="rId235" Type="http://schemas.openxmlformats.org/officeDocument/2006/relationships/hyperlink" Target="http://www.elmundo.es/espana/2018/12/08/5c0bc4f6fdddff5da58b4624.html" TargetMode="External"/><Relationship Id="rId442" Type="http://schemas.openxmlformats.org/officeDocument/2006/relationships/hyperlink" Target="http://www.lapaginadefinitiva.com/" TargetMode="External"/><Relationship Id="rId887" Type="http://schemas.openxmlformats.org/officeDocument/2006/relationships/hyperlink" Target="https://www.cope.es/n/306196" TargetMode="External"/><Relationship Id="rId1072" Type="http://schemas.openxmlformats.org/officeDocument/2006/relationships/hyperlink" Target="https://pbs.twimg.com/media/Dt1D1_2UwAEIMI7.jpg" TargetMode="External"/><Relationship Id="rId2123" Type="http://schemas.openxmlformats.org/officeDocument/2006/relationships/hyperlink" Target="https://www.libertaddigital.com/espana/2018-12-06/pedro-sanchez-desconoce-la-constitucion-pide-reformarla-para-incluir-la-igualdad-entre-hombres-y-mujeres-1276629507/" TargetMode="External"/><Relationship Id="rId2330" Type="http://schemas.openxmlformats.org/officeDocument/2006/relationships/hyperlink" Target="http://www.lascuatroesquinaspriego.com/" TargetMode="External"/><Relationship Id="rId2568" Type="http://schemas.openxmlformats.org/officeDocument/2006/relationships/hyperlink" Target="https://pbs.twimg.com/media/DtwlIreU8AApP2X.jpg" TargetMode="External"/><Relationship Id="rId2775" Type="http://schemas.openxmlformats.org/officeDocument/2006/relationships/hyperlink" Target="https://pbs.twimg.com/media/Dtu8JLUXQAAcbPg.jpg" TargetMode="External"/><Relationship Id="rId2982" Type="http://schemas.openxmlformats.org/officeDocument/2006/relationships/hyperlink" Target="https://pbs.twimg.com/media/Dtvu4A2XcAU3ofU.jpg" TargetMode="External"/><Relationship Id="rId302" Type="http://schemas.openxmlformats.org/officeDocument/2006/relationships/hyperlink" Target="https://ift.tt/2Lb7DkB" TargetMode="External"/><Relationship Id="rId747" Type="http://schemas.openxmlformats.org/officeDocument/2006/relationships/hyperlink" Target="https://www.cope.es/programas/herrera-en-cope/amp/noticias/herrera-20181207_306196" TargetMode="External"/><Relationship Id="rId954" Type="http://schemas.openxmlformats.org/officeDocument/2006/relationships/hyperlink" Target="http://ahoradigital.net/" TargetMode="External"/><Relationship Id="rId1377" Type="http://schemas.openxmlformats.org/officeDocument/2006/relationships/hyperlink" Target="http://www.linaresinformacion.com/texto-diario/mostrar/1274306/fallece-presidente-acil-luis-pedro-sanchez" TargetMode="External"/><Relationship Id="rId1584" Type="http://schemas.openxmlformats.org/officeDocument/2006/relationships/hyperlink" Target="https://pbs.twimg.com/media/Dtz7TyMWwAEIDq-.jpg" TargetMode="External"/><Relationship Id="rId1791" Type="http://schemas.openxmlformats.org/officeDocument/2006/relationships/hyperlink" Target="http://www.myelectronic.hostfree.pw/" TargetMode="External"/><Relationship Id="rId2428" Type="http://schemas.openxmlformats.org/officeDocument/2006/relationships/hyperlink" Target="https://pbs.twimg.com/media/Dtw0ErCW4AENgD9.jpg" TargetMode="External"/><Relationship Id="rId2635" Type="http://schemas.openxmlformats.org/officeDocument/2006/relationships/hyperlink" Target="https://www.facebook.com/LREmprender/" TargetMode="External"/><Relationship Id="rId2842" Type="http://schemas.openxmlformats.org/officeDocument/2006/relationships/hyperlink" Target="https://pbs.twimg.com/media/DtwFyZMWoAIZCyI.jpg" TargetMode="External"/><Relationship Id="rId83" Type="http://schemas.openxmlformats.org/officeDocument/2006/relationships/hyperlink" Target="https://thenewsatyourfingertips.wordpress.com/2018/12/08/pedro-sanchez-alerta-del-auge-de-la-extrema-derecha-en-europa/" TargetMode="External"/><Relationship Id="rId607" Type="http://schemas.openxmlformats.org/officeDocument/2006/relationships/hyperlink" Target="http://bit.ly/EP_Venezuela" TargetMode="External"/><Relationship Id="rId814" Type="http://schemas.openxmlformats.org/officeDocument/2006/relationships/hyperlink" Target="http://jaumesolerserra.blogspot.com/" TargetMode="External"/><Relationship Id="rId1237" Type="http://schemas.openxmlformats.org/officeDocument/2006/relationships/hyperlink" Target="https://pbs.twimg.com/media/Dt0nOmKWsAIOUWQ.jpg" TargetMode="External"/><Relationship Id="rId1444" Type="http://schemas.openxmlformats.org/officeDocument/2006/relationships/hyperlink" Target="https://www.cope.es/n/306196" TargetMode="External"/><Relationship Id="rId1651" Type="http://schemas.openxmlformats.org/officeDocument/2006/relationships/hyperlink" Target="https://pbs.twimg.com/media/DtwLiihWwAc9UPx.jpg" TargetMode="External"/><Relationship Id="rId1889" Type="http://schemas.openxmlformats.org/officeDocument/2006/relationships/hyperlink" Target="https://www.votoenblanco.com/Por-que-los-socialistas-decentes-no-echan-a-Pedro-Sanchez_a7283.html" TargetMode="External"/><Relationship Id="rId2702" Type="http://schemas.openxmlformats.org/officeDocument/2006/relationships/hyperlink" Target="https://www.youtube.com/channel/UCY60GBj-H8SmayRG1UgDVWw" TargetMode="External"/><Relationship Id="rId1304" Type="http://schemas.openxmlformats.org/officeDocument/2006/relationships/hyperlink" Target="http://www.abc.es/" TargetMode="External"/><Relationship Id="rId1511" Type="http://schemas.openxmlformats.org/officeDocument/2006/relationships/hyperlink" Target="http://eldiario.es/" TargetMode="External"/><Relationship Id="rId1749" Type="http://schemas.openxmlformats.org/officeDocument/2006/relationships/hyperlink" Target="http://josecarlosmolina.blogspot.com.es/" TargetMode="External"/><Relationship Id="rId1956" Type="http://schemas.openxmlformats.org/officeDocument/2006/relationships/hyperlink" Target="https://www.libertaddigital.com/espana/2018-12-06/pedro-sanchez-desconoce-la-constitucion-pide-reformarla-para-incluir-la-igualdad-entre-hombres-y-mujeres-1276629507/" TargetMode="External"/><Relationship Id="rId3171" Type="http://schemas.openxmlformats.org/officeDocument/2006/relationships/hyperlink" Target="https://amp.20minutos.es/noticia/3510387/0/abucheos-pedro-sanchez-congreso-aniversario-constitucion/" TargetMode="External"/><Relationship Id="rId1609" Type="http://schemas.openxmlformats.org/officeDocument/2006/relationships/hyperlink" Target="http://epmundo.com/" TargetMode="External"/><Relationship Id="rId1816" Type="http://schemas.openxmlformats.org/officeDocument/2006/relationships/hyperlink" Target="https://www.vozpopuli.com/_32f4f5c7" TargetMode="External"/><Relationship Id="rId3269" Type="http://schemas.openxmlformats.org/officeDocument/2006/relationships/hyperlink" Target="http://www.guadanews.es/" TargetMode="External"/><Relationship Id="rId10" Type="http://schemas.openxmlformats.org/officeDocument/2006/relationships/hyperlink" Target="http://www.elmundo.es/cataluna/2018/12/08/5c0b92fb21efa0d45b8b4608.html" TargetMode="External"/><Relationship Id="rId397" Type="http://schemas.openxmlformats.org/officeDocument/2006/relationships/hyperlink" Target="https://pbs.twimg.com/media/Dt447WrW0AA4OJU.jpg" TargetMode="External"/><Relationship Id="rId2078" Type="http://schemas.openxmlformats.org/officeDocument/2006/relationships/hyperlink" Target="http://www.ondacero.es/masdeuno/" TargetMode="External"/><Relationship Id="rId2285" Type="http://schemas.openxmlformats.org/officeDocument/2006/relationships/hyperlink" Target="http://ver.20m.es/_jw_w3" TargetMode="External"/><Relationship Id="rId2492" Type="http://schemas.openxmlformats.org/officeDocument/2006/relationships/hyperlink" Target="https://twitter.com/sanchezcastejon/status/1070736196228317184" TargetMode="External"/><Relationship Id="rId3031" Type="http://schemas.openxmlformats.org/officeDocument/2006/relationships/hyperlink" Target="http://www.galiciae.com/" TargetMode="External"/><Relationship Id="rId3129" Type="http://schemas.openxmlformats.org/officeDocument/2006/relationships/hyperlink" Target="http://shr.gs/oyvM3oG" TargetMode="External"/><Relationship Id="rId3336" Type="http://schemas.openxmlformats.org/officeDocument/2006/relationships/hyperlink" Target="http://pic.twitter.com/UzhyzhsGus" TargetMode="External"/><Relationship Id="rId257" Type="http://schemas.openxmlformats.org/officeDocument/2006/relationships/hyperlink" Target="https://www.iberopost.com/2018/09/pedro-sanchez-el-presidente-de-la.html" TargetMode="External"/><Relationship Id="rId464" Type="http://schemas.openxmlformats.org/officeDocument/2006/relationships/hyperlink" Target="http://www.ppmadrid.es/" TargetMode="External"/><Relationship Id="rId1094" Type="http://schemas.openxmlformats.org/officeDocument/2006/relationships/hyperlink" Target="http://pic.twitter.com/9Zt2ercC5p" TargetMode="External"/><Relationship Id="rId2145" Type="http://schemas.openxmlformats.org/officeDocument/2006/relationships/hyperlink" Target="https://curiouscat.me/HandsForSully" TargetMode="External"/><Relationship Id="rId2797" Type="http://schemas.openxmlformats.org/officeDocument/2006/relationships/hyperlink" Target="http://entretenimientobit.com/interes-general/pedro-sanchez-susana-diaz-la-reyerta-sigue/?utm_campaign=twitter&amp;utm_medium=twitter&amp;utm_source=twitter" TargetMode="External"/><Relationship Id="rId117" Type="http://schemas.openxmlformats.org/officeDocument/2006/relationships/hyperlink" Target="https://www.elconfidencial.com/espana/2018-12-08/pedro-sanchez-lisboa-congreso-pes-antonio-costa-hacer-mucho-mas-ultraderecha_1693226/" TargetMode="External"/><Relationship Id="rId671" Type="http://schemas.openxmlformats.org/officeDocument/2006/relationships/hyperlink" Target="https://twitter.com/JudgeTheZipper/status/1070963371950960645" TargetMode="External"/><Relationship Id="rId769" Type="http://schemas.openxmlformats.org/officeDocument/2006/relationships/hyperlink" Target="https://pbs.twimg.com/media/Dt2CY_LUcAAPc2e.jpg" TargetMode="External"/><Relationship Id="rId976" Type="http://schemas.openxmlformats.org/officeDocument/2006/relationships/hyperlink" Target="https://pbs.twimg.com/media/DtmSzMDX4AAmi-V.jpg" TargetMode="External"/><Relationship Id="rId1399" Type="http://schemas.openxmlformats.org/officeDocument/2006/relationships/hyperlink" Target="https://goo.gl/fb/Amu66i" TargetMode="External"/><Relationship Id="rId2352" Type="http://schemas.openxmlformats.org/officeDocument/2006/relationships/hyperlink" Target="http://www.joseluisportela.com/" TargetMode="External"/><Relationship Id="rId2657" Type="http://schemas.openxmlformats.org/officeDocument/2006/relationships/hyperlink" Target="https://www.libertaddigital.com/espana/2018-12-06/pedro-sanchez-desconoce-la-constitucion-pide-reformarla-para-incluir-la-igualdad-entre-hombres-y-mujeres-1276629507/" TargetMode="External"/><Relationship Id="rId3403" Type="http://schemas.openxmlformats.org/officeDocument/2006/relationships/hyperlink" Target="http://www.elperiodico.cat/ca/politica/" TargetMode="External"/><Relationship Id="rId324" Type="http://schemas.openxmlformats.org/officeDocument/2006/relationships/hyperlink" Target="https://twitter.com/sanchezcastejon/status/1071108859635351552?s=04" TargetMode="External"/><Relationship Id="rId531" Type="http://schemas.openxmlformats.org/officeDocument/2006/relationships/hyperlink" Target="http://shr.gs/k83WNfQ" TargetMode="External"/><Relationship Id="rId629" Type="http://schemas.openxmlformats.org/officeDocument/2006/relationships/hyperlink" Target="https://www.lavanguardia.com/politica/20181207/453408668752/boca-juniors-river-plate-final-copa-libertadores-pedro-sanchez.html" TargetMode="External"/><Relationship Id="rId1161" Type="http://schemas.openxmlformats.org/officeDocument/2006/relationships/hyperlink" Target="http://edicionescatolicas.org/" TargetMode="External"/><Relationship Id="rId1259" Type="http://schemas.openxmlformats.org/officeDocument/2006/relationships/hyperlink" Target="http://linares28.es/" TargetMode="External"/><Relationship Id="rId1466" Type="http://schemas.openxmlformats.org/officeDocument/2006/relationships/hyperlink" Target="https://m.eldiario.es/_32458250" TargetMode="External"/><Relationship Id="rId2005" Type="http://schemas.openxmlformats.org/officeDocument/2006/relationships/hyperlink" Target="http://derechotoday.com/" TargetMode="External"/><Relationship Id="rId2212" Type="http://schemas.openxmlformats.org/officeDocument/2006/relationships/hyperlink" Target="http://www.larazon.es/" TargetMode="External"/><Relationship Id="rId2864" Type="http://schemas.openxmlformats.org/officeDocument/2006/relationships/hyperlink" Target="https://pbs.twimg.com/media/DtwDexdWwAI_Cf9.jpg" TargetMode="External"/><Relationship Id="rId836" Type="http://schemas.openxmlformats.org/officeDocument/2006/relationships/hyperlink" Target="https://www.futbol-addict.com/es/article/granada-cf/consternacion-en-linares-por-la-perdida-de-luis-pedro-sanchez-presidente-de-acil/5c0ad74fc8c9086c5d43d5f5?utm_campaign=post-auto&amp;utm_medium=twitter&amp;utm_source=granada-cf-addict" TargetMode="External"/><Relationship Id="rId1021" Type="http://schemas.openxmlformats.org/officeDocument/2006/relationships/hyperlink" Target="https://pbs.twimg.com/media/Dt1NvwJW4AEzu3K.jpg" TargetMode="External"/><Relationship Id="rId1119" Type="http://schemas.openxmlformats.org/officeDocument/2006/relationships/hyperlink" Target="https://youtu.be/fNkyCYCTeWE" TargetMode="External"/><Relationship Id="rId1673" Type="http://schemas.openxmlformats.org/officeDocument/2006/relationships/hyperlink" Target="https://elpais.com/ccaa/2018/12/06/madrid/1544120991_643742.html?id_externo_rsoc=TW_CC" TargetMode="External"/><Relationship Id="rId1880" Type="http://schemas.openxmlformats.org/officeDocument/2006/relationships/hyperlink" Target="https://pbs.twimg.com/media/DtwD3bhX4AA_qWG.jpg" TargetMode="External"/><Relationship Id="rId1978" Type="http://schemas.openxmlformats.org/officeDocument/2006/relationships/hyperlink" Target="https://www.diarioinformacion.com/opinion/2018/12/07/moby-dick/2094710.html" TargetMode="External"/><Relationship Id="rId2517" Type="http://schemas.openxmlformats.org/officeDocument/2006/relationships/hyperlink" Target="http://eldiadecordoba.es/" TargetMode="External"/><Relationship Id="rId2724" Type="http://schemas.openxmlformats.org/officeDocument/2006/relationships/hyperlink" Target="http://www.infoheaders.com/" TargetMode="External"/><Relationship Id="rId2931" Type="http://schemas.openxmlformats.org/officeDocument/2006/relationships/hyperlink" Target="https://www.libertaddigital.com/espana/2018-12-06/pedro-sanchez-descarta-elecciones-en-marzo-pero-abre-la-puerta-a-mayo-1276629489/" TargetMode="External"/><Relationship Id="rId903" Type="http://schemas.openxmlformats.org/officeDocument/2006/relationships/hyperlink" Target="https://pbs.twimg.com/media/Dtyso_SWkAEgzpB.jpg" TargetMode="External"/><Relationship Id="rId1326" Type="http://schemas.openxmlformats.org/officeDocument/2006/relationships/hyperlink" Target="https://bit.ly/2B1NyrU" TargetMode="External"/><Relationship Id="rId1533" Type="http://schemas.openxmlformats.org/officeDocument/2006/relationships/hyperlink" Target="https://www.lavanguardia.com/politica/20181207/453403401352/quim-torra-ayuno-48-horas-presos-huelga-hambre-cataluna.html?utm_campaign=botones_sociales_app&amp;utm_source=social-otros&amp;utm_medium=social" TargetMode="External"/><Relationship Id="rId1740" Type="http://schemas.openxmlformats.org/officeDocument/2006/relationships/hyperlink" Target="https://www.libertaddigital.com/espana/politica/2018-12-06/abuheo-general-a-pedro-sanchez-convoca-elecciones-1276629479/" TargetMode="External"/><Relationship Id="rId3193" Type="http://schemas.openxmlformats.org/officeDocument/2006/relationships/hyperlink" Target="https://www.eldiario.es/politica/Pedro-Sanchez-posibilidad-elecciones-Seguiremos_0_843416005.html" TargetMode="External"/><Relationship Id="rId32" Type="http://schemas.openxmlformats.org/officeDocument/2006/relationships/hyperlink" Target="http://dlvr.it/Qt8LJc" TargetMode="External"/><Relationship Id="rId1600" Type="http://schemas.openxmlformats.org/officeDocument/2006/relationships/hyperlink" Target="https://spherasports.com/a/1518786832-aldo-vazquez" TargetMode="External"/><Relationship Id="rId1838" Type="http://schemas.openxmlformats.org/officeDocument/2006/relationships/hyperlink" Target="https://m.eldiario.es/_32458250" TargetMode="External"/><Relationship Id="rId3053" Type="http://schemas.openxmlformats.org/officeDocument/2006/relationships/hyperlink" Target="http://j.mp/2Ukatrr" TargetMode="External"/><Relationship Id="rId3260" Type="http://schemas.openxmlformats.org/officeDocument/2006/relationships/hyperlink" Target="http://www.menorca.info/" TargetMode="External"/><Relationship Id="rId181" Type="http://schemas.openxmlformats.org/officeDocument/2006/relationships/hyperlink" Target="https://pbs.twimg.com/media/Dt5qB1gU4AA19ul.jpg" TargetMode="External"/><Relationship Id="rId1905" Type="http://schemas.openxmlformats.org/officeDocument/2006/relationships/hyperlink" Target="https://okdiario.com/espana/2018/12/07/pedro-sanchez-reformar-constitucion-incluir-igualdad-hombres-mujeres-articulo-14-desde-hace-40-anos-3437620" TargetMode="External"/><Relationship Id="rId3120" Type="http://schemas.openxmlformats.org/officeDocument/2006/relationships/hyperlink" Target="https://curiouscat.me/yellowdaee" TargetMode="External"/><Relationship Id="rId3358" Type="http://schemas.openxmlformats.org/officeDocument/2006/relationships/hyperlink" Target="https://www.youtube.com/user/9musas1" TargetMode="External"/><Relationship Id="rId279" Type="http://schemas.openxmlformats.org/officeDocument/2006/relationships/hyperlink" Target="http://www.andaluciainformacion.es/" TargetMode="External"/><Relationship Id="rId486" Type="http://schemas.openxmlformats.org/officeDocument/2006/relationships/hyperlink" Target="https://pbs.twimg.com/media/Dt4hMsjW0AArmK4.jpg" TargetMode="External"/><Relationship Id="rId693" Type="http://schemas.openxmlformats.org/officeDocument/2006/relationships/hyperlink" Target="https://pbs.twimg.com/media/Dt2iqtzU0AAWLrs.jpg" TargetMode="External"/><Relationship Id="rId2167" Type="http://schemas.openxmlformats.org/officeDocument/2006/relationships/hyperlink" Target="https://www.libertaddigital.com/espana/politica/2018-12-06/abuheo-general-a-pedro-sanchez-convoca-elecciones-1276629479/" TargetMode="External"/><Relationship Id="rId2374" Type="http://schemas.openxmlformats.org/officeDocument/2006/relationships/hyperlink" Target="http://atres.red/ihgvd16" TargetMode="External"/><Relationship Id="rId2581" Type="http://schemas.openxmlformats.org/officeDocument/2006/relationships/hyperlink" Target="https://pbs.twimg.com/media/DtwjcEpVYAAXb5B.jpg" TargetMode="External"/><Relationship Id="rId3218" Type="http://schemas.openxmlformats.org/officeDocument/2006/relationships/hyperlink" Target="http://elconfidencial.com/" TargetMode="External"/><Relationship Id="rId3425" Type="http://schemas.openxmlformats.org/officeDocument/2006/relationships/hyperlink" Target="http://www.cuatro.com/noticias" TargetMode="External"/><Relationship Id="rId139" Type="http://schemas.openxmlformats.org/officeDocument/2006/relationships/hyperlink" Target="http://instagram.com/marcoantoniodsm" TargetMode="External"/><Relationship Id="rId346" Type="http://schemas.openxmlformats.org/officeDocument/2006/relationships/hyperlink" Target="https://pbs.twimg.com/media/Dt5Et3fVAAYJ_4i.jpg" TargetMode="External"/><Relationship Id="rId553" Type="http://schemas.openxmlformats.org/officeDocument/2006/relationships/hyperlink" Target="https://www.facebook.com/labodegabbc" TargetMode="External"/><Relationship Id="rId760" Type="http://schemas.openxmlformats.org/officeDocument/2006/relationships/hyperlink" Target="https://www.mundiario.com/articulo/politica/pablo-casado-apunta-pedro-sanchez-situacion-cataluna/20181207212354140100.html" TargetMode="External"/><Relationship Id="rId998" Type="http://schemas.openxmlformats.org/officeDocument/2006/relationships/hyperlink" Target="http://www.pressdigital.es/" TargetMode="External"/><Relationship Id="rId1183" Type="http://schemas.openxmlformats.org/officeDocument/2006/relationships/hyperlink" Target="http://www.lextres.com/" TargetMode="External"/><Relationship Id="rId1390" Type="http://schemas.openxmlformats.org/officeDocument/2006/relationships/hyperlink" Target="https://pbs.twimg.com/media/DtwD3bhX4AA_qWG.jpg" TargetMode="External"/><Relationship Id="rId2027" Type="http://schemas.openxmlformats.org/officeDocument/2006/relationships/hyperlink" Target="https://pbs.twimg.com/media/Dty5I2NWsAE-XZB.jpg" TargetMode="External"/><Relationship Id="rId2234" Type="http://schemas.openxmlformats.org/officeDocument/2006/relationships/hyperlink" Target="https://m.eldiario.es/_32458250" TargetMode="External"/><Relationship Id="rId2441" Type="http://schemas.openxmlformats.org/officeDocument/2006/relationships/hyperlink" Target="https://www.eldiario.es/politica/Pedro-Sanchez-reforma-Constitucion-igualdad_0_843416144.html" TargetMode="External"/><Relationship Id="rId2679" Type="http://schemas.openxmlformats.org/officeDocument/2006/relationships/hyperlink" Target="http://bit.ly/EP_Venezuela" TargetMode="External"/><Relationship Id="rId2886" Type="http://schemas.openxmlformats.org/officeDocument/2006/relationships/hyperlink" Target="https://www.20minutos.es/noticia/3510514/0/pedro-sanchez-andalucia-susana-diaz/?utm_source=twitter.com&amp;utm_medium=socialshare&amp;utm_campaign=desktop" TargetMode="External"/><Relationship Id="rId206" Type="http://schemas.openxmlformats.org/officeDocument/2006/relationships/hyperlink" Target="http://www.eldiario.es/" TargetMode="External"/><Relationship Id="rId413" Type="http://schemas.openxmlformats.org/officeDocument/2006/relationships/hyperlink" Target="http://www.sajimes.blogspot.com/" TargetMode="External"/><Relationship Id="rId858" Type="http://schemas.openxmlformats.org/officeDocument/2006/relationships/hyperlink" Target="https://lapaseata.net/2018/12/07/pedro-sanchez-pitoniso/" TargetMode="External"/><Relationship Id="rId1043" Type="http://schemas.openxmlformats.org/officeDocument/2006/relationships/hyperlink" Target="http://deporteshendelbert.blogspot.com/" TargetMode="External"/><Relationship Id="rId1488" Type="http://schemas.openxmlformats.org/officeDocument/2006/relationships/hyperlink" Target="https://www.infotaller.tv/reparacion/Pedro-Sanchez-cuidado-chalecos-amarillos-espanoles_0_1280271968.html" TargetMode="External"/><Relationship Id="rId1695" Type="http://schemas.openxmlformats.org/officeDocument/2006/relationships/hyperlink" Target="http://chng.it/yfHzS9Fp" TargetMode="External"/><Relationship Id="rId2539" Type="http://schemas.openxmlformats.org/officeDocument/2006/relationships/hyperlink" Target="http://chng.it/vWbLx8q5" TargetMode="External"/><Relationship Id="rId2746" Type="http://schemas.openxmlformats.org/officeDocument/2006/relationships/hyperlink" Target="http://contracobardes.blogspot.com.es/?m=1" TargetMode="External"/><Relationship Id="rId2953" Type="http://schemas.openxmlformats.org/officeDocument/2006/relationships/hyperlink" Target="https://pbs.twimg.com/media/Dtv1RS-WkAABEg-.jpg" TargetMode="External"/><Relationship Id="rId620" Type="http://schemas.openxmlformats.org/officeDocument/2006/relationships/hyperlink" Target="https://pbs.twimg.com/media/Dt3UK1yWsAALk22.jpg" TargetMode="External"/><Relationship Id="rId718" Type="http://schemas.openxmlformats.org/officeDocument/2006/relationships/hyperlink" Target="https://elpais.com/politica/2018/12/07/actualidad/1544192692_171557.html" TargetMode="External"/><Relationship Id="rId925" Type="http://schemas.openxmlformats.org/officeDocument/2006/relationships/hyperlink" Target="https://www.mediterraneodigital.com/espana/espana/ridiculo-apoteosico-pedro-sanchez-pide-reformar-la-constitucion-para-incluir-un-articulo-que-ya-existe.html" TargetMode="External"/><Relationship Id="rId1250" Type="http://schemas.openxmlformats.org/officeDocument/2006/relationships/hyperlink" Target="http://epmundo.com/2018/descontentos-asi-recibieron-a-pedro-sanchez-en-el-congreso-video/?utm_source=twitter&amp;utm_medium=social&amp;utm_campaign=ReviveOldPost" TargetMode="External"/><Relationship Id="rId1348" Type="http://schemas.openxmlformats.org/officeDocument/2006/relationships/hyperlink" Target="https://www.uruguayaltoque.uy/el-presidente-espanol-pedro-sanchez-asistira-a-la-final-de-la-copa-libertadores-en-el-santiago-bernabeu/" TargetMode="External"/><Relationship Id="rId1555" Type="http://schemas.openxmlformats.org/officeDocument/2006/relationships/hyperlink" Target="http://www.multiforo.eu/" TargetMode="External"/><Relationship Id="rId1762" Type="http://schemas.openxmlformats.org/officeDocument/2006/relationships/hyperlink" Target="http://ow.ly/egvQ30mTqNr" TargetMode="External"/><Relationship Id="rId2301" Type="http://schemas.openxmlformats.org/officeDocument/2006/relationships/hyperlink" Target="https://www.eldiario.es/_32458250" TargetMode="External"/><Relationship Id="rId2606" Type="http://schemas.openxmlformats.org/officeDocument/2006/relationships/hyperlink" Target="https://www.libertaddigital.com/espana/2018-12-06/pedro-sanchez-desconoce-la-constitucion-pide-reformarla-para-incluir-la-igualdad-entre-hombres-y-mujeres-1276629507/" TargetMode="External"/><Relationship Id="rId1110" Type="http://schemas.openxmlformats.org/officeDocument/2006/relationships/hyperlink" Target="https://okdiario.com/espana/2018/12/07/pedro-sanchez-reformar-constitucion-incluir-igualdad-hombres-mujeres-articulo-14-desde-hace-40-anos-3437620/amp" TargetMode="External"/><Relationship Id="rId1208" Type="http://schemas.openxmlformats.org/officeDocument/2006/relationships/hyperlink" Target="http://www.lavanguardia.com/" TargetMode="External"/><Relationship Id="rId1415" Type="http://schemas.openxmlformats.org/officeDocument/2006/relationships/hyperlink" Target="https://pbs.twimg.com/media/Dt0PTvBWoAAvNoJ.jpg" TargetMode="External"/><Relationship Id="rId2813" Type="http://schemas.openxmlformats.org/officeDocument/2006/relationships/hyperlink" Target="http://todos.viva/" TargetMode="External"/><Relationship Id="rId54" Type="http://schemas.openxmlformats.org/officeDocument/2006/relationships/hyperlink" Target="https://pbs.twimg.com/media/Dt5-KURWkAI1fUO.jpg" TargetMode="External"/><Relationship Id="rId1622" Type="http://schemas.openxmlformats.org/officeDocument/2006/relationships/hyperlink" Target="http://www.sajimes.blogspot.com/" TargetMode="External"/><Relationship Id="rId1927" Type="http://schemas.openxmlformats.org/officeDocument/2006/relationships/hyperlink" Target="https://www.elconfidencialdigital.com/articulo/politica/pedro-sanchez-amenaza-susana-diaz-repetir-operacion-acabo-tomas-gomez/20181205184900119027.html" TargetMode="External"/><Relationship Id="rId3075" Type="http://schemas.openxmlformats.org/officeDocument/2006/relationships/hyperlink" Target="http://videos.elmundo.es/v/0_lwslz5du-abucheos-a-pedro-sanchez" TargetMode="External"/><Relationship Id="rId3282" Type="http://schemas.openxmlformats.org/officeDocument/2006/relationships/hyperlink" Target="https://pbs.twimg.com/media/DtvMjJdW4AAfYGB.jpg" TargetMode="External"/><Relationship Id="rId2091" Type="http://schemas.openxmlformats.org/officeDocument/2006/relationships/hyperlink" Target="http://dlvr.it/Qt2RHr" TargetMode="External"/><Relationship Id="rId2189" Type="http://schemas.openxmlformats.org/officeDocument/2006/relationships/hyperlink" Target="https://pbs.twimg.com/media/DtvJGiLW0AAhUcI.jpg" TargetMode="External"/><Relationship Id="rId3142" Type="http://schemas.openxmlformats.org/officeDocument/2006/relationships/hyperlink" Target="https://www.ideal.es/40-aniversario-constitucion/pedro-sanchez-lleva-20181206123919-ntrc.html" TargetMode="External"/><Relationship Id="rId270" Type="http://schemas.openxmlformats.org/officeDocument/2006/relationships/hyperlink" Target="https://pbs.twimg.com/media/Dt5b5ouW0AAB926.jpg" TargetMode="External"/><Relationship Id="rId2396" Type="http://schemas.openxmlformats.org/officeDocument/2006/relationships/hyperlink" Target="https://blogs.elconfidencial.com/espana/desde-fuera/2018-12-06/elecciones-andalucia-pedro-sanchez-susana-diaz-culpable-hundimiento-titanic-socialista_1688542/?utm_source=twitter&amp;utm_medium=social&amp;utm_campaign=BotoneraWeb" TargetMode="External"/><Relationship Id="rId3002" Type="http://schemas.openxmlformats.org/officeDocument/2006/relationships/hyperlink" Target="https://bit.ly/2Sx3CJn" TargetMode="External"/><Relationship Id="rId130" Type="http://schemas.openxmlformats.org/officeDocument/2006/relationships/hyperlink" Target="http://www.multiforo.eu/" TargetMode="External"/><Relationship Id="rId368" Type="http://schemas.openxmlformats.org/officeDocument/2006/relationships/hyperlink" Target="http://www.elperiodico.com.do/" TargetMode="External"/><Relationship Id="rId575" Type="http://schemas.openxmlformats.org/officeDocument/2006/relationships/hyperlink" Target="https://www.cope.es/n/306196" TargetMode="External"/><Relationship Id="rId782" Type="http://schemas.openxmlformats.org/officeDocument/2006/relationships/hyperlink" Target="http://gaab75.blogspot.com/" TargetMode="External"/><Relationship Id="rId2049" Type="http://schemas.openxmlformats.org/officeDocument/2006/relationships/hyperlink" Target="http://www.lavozdealmeria.com/" TargetMode="External"/><Relationship Id="rId2256" Type="http://schemas.openxmlformats.org/officeDocument/2006/relationships/hyperlink" Target="https://m.eldiario.es/_32458250" TargetMode="External"/><Relationship Id="rId2463" Type="http://schemas.openxmlformats.org/officeDocument/2006/relationships/hyperlink" Target="https://pbs.twimg.com/media/DtwwN1oXgAohItK.jpg" TargetMode="External"/><Relationship Id="rId2670" Type="http://schemas.openxmlformats.org/officeDocument/2006/relationships/hyperlink" Target="http://dlvr.it/Qt0f0R" TargetMode="External"/><Relationship Id="rId3307" Type="http://schemas.openxmlformats.org/officeDocument/2006/relationships/hyperlink" Target="https://www.esdiario.com/452403351/Las-cifras-del-panico-asi-conduce-Pedro-Sanchez-al-precipicio-al-PSOE-.html" TargetMode="External"/><Relationship Id="rId228" Type="http://schemas.openxmlformats.org/officeDocument/2006/relationships/hyperlink" Target="http://www.expansion.com/" TargetMode="External"/><Relationship Id="rId435" Type="http://schemas.openxmlformats.org/officeDocument/2006/relationships/hyperlink" Target="http://okdiario.com/" TargetMode="External"/><Relationship Id="rId642" Type="http://schemas.openxmlformats.org/officeDocument/2006/relationships/hyperlink" Target="http://www.radiohuancavilca.com.ec/" TargetMode="External"/><Relationship Id="rId1065" Type="http://schemas.openxmlformats.org/officeDocument/2006/relationships/hyperlink" Target="https://pbs.twimg.com/media/Dt1E9BnW0AA0u4B.jpg" TargetMode="External"/><Relationship Id="rId1272" Type="http://schemas.openxmlformats.org/officeDocument/2006/relationships/hyperlink" Target="http://linares28.es/" TargetMode="External"/><Relationship Id="rId2116" Type="http://schemas.openxmlformats.org/officeDocument/2006/relationships/hyperlink" Target="https://www.libertaddigital.com/espana/2018-12-06/pedro-sanchez-descarta-elecciones-en-marzo-pero-abre-la-puerta-a-mayo-1276629489/" TargetMode="External"/><Relationship Id="rId2323" Type="http://schemas.openxmlformats.org/officeDocument/2006/relationships/hyperlink" Target="http://www.lasexta.com/elintermedio" TargetMode="External"/><Relationship Id="rId2530" Type="http://schemas.openxmlformats.org/officeDocument/2006/relationships/hyperlink" Target="http://paper.li/lobo_solito/1343408781" TargetMode="External"/><Relationship Id="rId2768" Type="http://schemas.openxmlformats.org/officeDocument/2006/relationships/hyperlink" Target="https://elpais.com/politica/2018/12/04/actualidad/1543916726_658727.html" TargetMode="External"/><Relationship Id="rId2975" Type="http://schemas.openxmlformats.org/officeDocument/2006/relationships/hyperlink" Target="http://shr.gs/WFfTGO" TargetMode="External"/><Relationship Id="rId502" Type="http://schemas.openxmlformats.org/officeDocument/2006/relationships/hyperlink" Target="https://www.libertaddigital.com/espana/2018-12-06/pedro-sanchez-desconoce-la-constitucion-pide-reformarla-para-incluir-la-igualdad-entre-hombres-y-mujeres-1276629507/" TargetMode="External"/><Relationship Id="rId947" Type="http://schemas.openxmlformats.org/officeDocument/2006/relationships/hyperlink" Target="https://twitter.com/sanchezcastejon/status/1070736196228317184" TargetMode="External"/><Relationship Id="rId1132" Type="http://schemas.openxmlformats.org/officeDocument/2006/relationships/hyperlink" Target="https://www.elperiodico.com/es/politica/20181207/entrevista-jessica-albiach-si-pedro-sanchez-no-escucha-catalunya-acabara-como-susana-diaz-7188106?utm_source=twitter&amp;utm_medium=social" TargetMode="External"/><Relationship Id="rId1577" Type="http://schemas.openxmlformats.org/officeDocument/2006/relationships/hyperlink" Target="https://okdiario.com/espana/2018/12/07/pedro-sanchez-reformar-constitucion-incluir-igualdad-hombres-mujeres-articulo-14-desde-hace-40-anos-3437620" TargetMode="External"/><Relationship Id="rId1784" Type="http://schemas.openxmlformats.org/officeDocument/2006/relationships/hyperlink" Target="https://www.facebook.com/natanaelgf/posts/10218179133253468" TargetMode="External"/><Relationship Id="rId1991" Type="http://schemas.openxmlformats.org/officeDocument/2006/relationships/hyperlink" Target="https://okdiario.com/espana/2018/12/07/pedro-sanchez-reformar-constitucion-incluir-igualdad-hombres-mujeres-articulo-14-desde-hace-40-anos-3437620" TargetMode="External"/><Relationship Id="rId2628" Type="http://schemas.openxmlformats.org/officeDocument/2006/relationships/hyperlink" Target="http://pic.twitter.com/Qirq5pira0" TargetMode="External"/><Relationship Id="rId2835" Type="http://schemas.openxmlformats.org/officeDocument/2006/relationships/hyperlink" Target="https://goo.gl/LWihtw" TargetMode="External"/><Relationship Id="rId76" Type="http://schemas.openxmlformats.org/officeDocument/2006/relationships/hyperlink" Target="https://thenewsatyourfingertips.wordpress.com/2018/12/08/pedro-sanchez-alerta-del-auge-de-la-extrema-derecha-en-europa-2/" TargetMode="External"/><Relationship Id="rId807" Type="http://schemas.openxmlformats.org/officeDocument/2006/relationships/hyperlink" Target="http://www.manuelponte.com/" TargetMode="External"/><Relationship Id="rId1437" Type="http://schemas.openxmlformats.org/officeDocument/2006/relationships/hyperlink" Target="https://okdiario.com/espana/2018/12/07/pedro-sanchez-reformar-constitucion-incluir-igualdad-hombres-mujeres-articulo-14-desde-hace-40-anos-3437620" TargetMode="External"/><Relationship Id="rId1644" Type="http://schemas.openxmlformats.org/officeDocument/2006/relationships/hyperlink" Target="http://instagram.com/consu_gf" TargetMode="External"/><Relationship Id="rId1851" Type="http://schemas.openxmlformats.org/officeDocument/2006/relationships/hyperlink" Target="https://okdiario.com/espana/2018/12/07/pedro-sanchez-reformar-constitucion-incluir-igualdad-hombres-mujeres-articulo-14-desde-hace-40-anos-3437620" TargetMode="External"/><Relationship Id="rId2902" Type="http://schemas.openxmlformats.org/officeDocument/2006/relationships/hyperlink" Target="https://www.libertaddigital.com/espana/2018-12-06/pedro-sanchez-descarta-elecciones-en-marzo-pero-abre-la-puerta-a-mayo-1276629489/" TargetMode="External"/><Relationship Id="rId3097" Type="http://schemas.openxmlformats.org/officeDocument/2006/relationships/hyperlink" Target="https://www.20minutos.es/noticia/3510387/0/abucheos-pedro-sanchez-congreso-aniversario-constitucion/?utm_source=twitter.com&amp;utm_medium=socialshare&amp;utm_campaign=mobile_amp" TargetMode="External"/><Relationship Id="rId1504" Type="http://schemas.openxmlformats.org/officeDocument/2006/relationships/hyperlink" Target="https://www.instagram.com/javiercorripio/" TargetMode="External"/><Relationship Id="rId1711" Type="http://schemas.openxmlformats.org/officeDocument/2006/relationships/hyperlink" Target="http://pic.twitter.com/Xembbx9AO1" TargetMode="External"/><Relationship Id="rId1949" Type="http://schemas.openxmlformats.org/officeDocument/2006/relationships/hyperlink" Target="https://pbs.twimg.com/media/DtzKe10WwAAQOCy.jpg" TargetMode="External"/><Relationship Id="rId3164" Type="http://schemas.openxmlformats.org/officeDocument/2006/relationships/hyperlink" Target="https://www.libertaddigital.com/espana/2018-12-06/pedro-sanchez-descarta-elecciones-en-marzo-pero-abre-la-puerta-a-mayo-1276629489/" TargetMode="External"/><Relationship Id="rId292" Type="http://schemas.openxmlformats.org/officeDocument/2006/relationships/hyperlink" Target="https://ift.tt/2L2OEIP" TargetMode="External"/><Relationship Id="rId1809" Type="http://schemas.openxmlformats.org/officeDocument/2006/relationships/hyperlink" Target="https://ift.tt/2L3rz8B" TargetMode="External"/><Relationship Id="rId3371" Type="http://schemas.openxmlformats.org/officeDocument/2006/relationships/hyperlink" Target="https://elpais.com/politica/2018/12/04/actualidad/1543916726_658727.html" TargetMode="External"/><Relationship Id="rId597" Type="http://schemas.openxmlformats.org/officeDocument/2006/relationships/hyperlink" Target="http://mediterraneo.diario16.com/gobierno-pedro-sanchez-iu-militares-profranquistas/" TargetMode="External"/><Relationship Id="rId2180" Type="http://schemas.openxmlformats.org/officeDocument/2006/relationships/hyperlink" Target="http://ow.ly/OlSy30mTe8u" TargetMode="External"/><Relationship Id="rId2278" Type="http://schemas.openxmlformats.org/officeDocument/2006/relationships/hyperlink" Target="http://www.facebook.com/mikytoytoy" TargetMode="External"/><Relationship Id="rId2485" Type="http://schemas.openxmlformats.org/officeDocument/2006/relationships/hyperlink" Target="http://www.elisadocio.com/" TargetMode="External"/><Relationship Id="rId3024" Type="http://schemas.openxmlformats.org/officeDocument/2006/relationships/hyperlink" Target="http://play.cadenaser.com/emisora/radio_melilla/?autoplay=true" TargetMode="External"/><Relationship Id="rId3231" Type="http://schemas.openxmlformats.org/officeDocument/2006/relationships/hyperlink" Target="http://pipeysutrupe.blogspot.com/" TargetMode="External"/><Relationship Id="rId3329" Type="http://schemas.openxmlformats.org/officeDocument/2006/relationships/hyperlink" Target="http://www.kojackadasvarias.blogspot.com/" TargetMode="External"/><Relationship Id="rId152" Type="http://schemas.openxmlformats.org/officeDocument/2006/relationships/hyperlink" Target="https://www.facebook.com/1425095572/posts/10218239676689747/" TargetMode="External"/><Relationship Id="rId457" Type="http://schemas.openxmlformats.org/officeDocument/2006/relationships/hyperlink" Target="https://www.elmundo.es/cataluna/2018/12/07/5c0acd4efdddffcfa28b45bf.html" TargetMode="External"/><Relationship Id="rId1087" Type="http://schemas.openxmlformats.org/officeDocument/2006/relationships/hyperlink" Target="https://m.eldiario.es/3245823b_843416123/" TargetMode="External"/><Relationship Id="rId1294" Type="http://schemas.openxmlformats.org/officeDocument/2006/relationships/hyperlink" Target="https://pbs.twimg.com/media/Dt0MRoRU0AA5QPZ.jpg" TargetMode="External"/><Relationship Id="rId2040" Type="http://schemas.openxmlformats.org/officeDocument/2006/relationships/hyperlink" Target="http://epmundo.com/2018/descontentos-asi-recibieron-a-pedro-sanchez-en-el-congreso-video/?utm_source=twitter&amp;utm_medium=social&amp;utm_campaign=ReviveOldPost" TargetMode="External"/><Relationship Id="rId2138" Type="http://schemas.openxmlformats.org/officeDocument/2006/relationships/hyperlink" Target="http://flavors.me/egarciagarcia" TargetMode="External"/><Relationship Id="rId2692" Type="http://schemas.openxmlformats.org/officeDocument/2006/relationships/hyperlink" Target="https://www.abc.es/espana/abci-pedro-sanchez-llega-entre-abucheos-congreso-40-aniversario-constitucion-201812061227_noticia.html" TargetMode="External"/><Relationship Id="rId2997" Type="http://schemas.openxmlformats.org/officeDocument/2006/relationships/hyperlink" Target="https://www.libertaddigital.com/espana/politica/2018-12-06/abuheo-general-a-pedro-sanchez-convoca-elecciones-1276629479/" TargetMode="External"/><Relationship Id="rId664" Type="http://schemas.openxmlformats.org/officeDocument/2006/relationships/hyperlink" Target="http://bit.ly/2UoMmrB" TargetMode="External"/><Relationship Id="rId871" Type="http://schemas.openxmlformats.org/officeDocument/2006/relationships/hyperlink" Target="http://pic.twitter.com/L7D3gvaQr1" TargetMode="External"/><Relationship Id="rId969" Type="http://schemas.openxmlformats.org/officeDocument/2006/relationships/hyperlink" Target="https://www.europapress.es/nacional/noticia-rufian-preguntara-pedro-sanchez-congreso-si-hara-algo-frente-ultraderecha-20181207150646.html" TargetMode="External"/><Relationship Id="rId1599" Type="http://schemas.openxmlformats.org/officeDocument/2006/relationships/hyperlink" Target="https://twitter.com/CorunaDeportiva/status/1071003480654004224" TargetMode="External"/><Relationship Id="rId2345" Type="http://schemas.openxmlformats.org/officeDocument/2006/relationships/hyperlink" Target="https://shop.spreadshirt.es/camioriginal" TargetMode="External"/><Relationship Id="rId2552" Type="http://schemas.openxmlformats.org/officeDocument/2006/relationships/hyperlink" Target="http://www.elnuevopais.net/" TargetMode="External"/><Relationship Id="rId317" Type="http://schemas.openxmlformats.org/officeDocument/2006/relationships/hyperlink" Target="http://bit.ly/2B5gYp5" TargetMode="External"/><Relationship Id="rId524" Type="http://schemas.openxmlformats.org/officeDocument/2006/relationships/hyperlink" Target="http://www.citizengo.org/hazteoir/pc/166961-pedro-sanchez-vende-guardia-civil?tc=tw&amp;tcid=52579705" TargetMode="External"/><Relationship Id="rId731" Type="http://schemas.openxmlformats.org/officeDocument/2006/relationships/hyperlink" Target="http://www.radiohuancavilca.com.ec/" TargetMode="External"/><Relationship Id="rId1154" Type="http://schemas.openxmlformats.org/officeDocument/2006/relationships/hyperlink" Target="http://epmundo.com/" TargetMode="External"/><Relationship Id="rId1361" Type="http://schemas.openxmlformats.org/officeDocument/2006/relationships/hyperlink" Target="http://www.hoyhonduras.news/" TargetMode="External"/><Relationship Id="rId1459" Type="http://schemas.openxmlformats.org/officeDocument/2006/relationships/hyperlink" Target="https://twitter.com/yosoynaranjito_/status/1070986960578203648" TargetMode="External"/><Relationship Id="rId2205" Type="http://schemas.openxmlformats.org/officeDocument/2006/relationships/hyperlink" Target="https://www.elnortedecastilla.es/40-aniversario-constitucion/pedro-sanchez-lleva-20181206123919-ntrc.html" TargetMode="External"/><Relationship Id="rId2412" Type="http://schemas.openxmlformats.org/officeDocument/2006/relationships/hyperlink" Target="http://www.multiforo.eu/Colaboraciones/2018/TratadoDeUtrechDos.htm" TargetMode="External"/><Relationship Id="rId2857" Type="http://schemas.openxmlformats.org/officeDocument/2006/relationships/hyperlink" Target="https://elnuevopais.net/2018/12/05/pedro-sanchez-a-los-independentistas-les-da-igual-el-modelo-de-estado-quieren-ir-contra-el-ser-de-espana/" TargetMode="External"/><Relationship Id="rId98" Type="http://schemas.openxmlformats.org/officeDocument/2006/relationships/hyperlink" Target="https://marchalsabater.wordpress.com/" TargetMode="External"/><Relationship Id="rId829" Type="http://schemas.openxmlformats.org/officeDocument/2006/relationships/hyperlink" Target="https://cronicaglobal.elespanol.com/politica/torra-exige-cambios-buch-interior_205197_102.html.y" TargetMode="External"/><Relationship Id="rId1014" Type="http://schemas.openxmlformats.org/officeDocument/2006/relationships/hyperlink" Target="http://www.europapress.es/nacional/" TargetMode="External"/><Relationship Id="rId1221" Type="http://schemas.openxmlformats.org/officeDocument/2006/relationships/hyperlink" Target="http://www.pilates-quiromasaje-susanagil.es/" TargetMode="External"/><Relationship Id="rId1666" Type="http://schemas.openxmlformats.org/officeDocument/2006/relationships/hyperlink" Target="http://diariodelozama.blogspot.com/?m=1" TargetMode="External"/><Relationship Id="rId1873" Type="http://schemas.openxmlformats.org/officeDocument/2006/relationships/hyperlink" Target="https://www.libertaddigital.com/espana/2018-12-06/pedro-sanchez-desconoce-la-constitucion-pide-reformarla-para-incluir-la-igualdad-entre-hombres-y-mujeres-1276629507/" TargetMode="External"/><Relationship Id="rId2717" Type="http://schemas.openxmlformats.org/officeDocument/2006/relationships/hyperlink" Target="http://veoinfo.com/" TargetMode="External"/><Relationship Id="rId2924" Type="http://schemas.openxmlformats.org/officeDocument/2006/relationships/hyperlink" Target="http://www.veoinfo.com/abucheos-a-pedro-sanchez-a-su-llegada-al-congreso-y-larga-ovacion-a-los-reyes/" TargetMode="External"/><Relationship Id="rId1319" Type="http://schemas.openxmlformats.org/officeDocument/2006/relationships/hyperlink" Target="https://pbs.twimg.com/media/Dt0dU3xWkAApD_H.jpg" TargetMode="External"/><Relationship Id="rId1526" Type="http://schemas.openxmlformats.org/officeDocument/2006/relationships/hyperlink" Target="http://www.inmoavery.com/" TargetMode="External"/><Relationship Id="rId1733" Type="http://schemas.openxmlformats.org/officeDocument/2006/relationships/hyperlink" Target="https://www.ed.ac.uk/profile/iker-itoiz-ciaurriz" TargetMode="External"/><Relationship Id="rId1940" Type="http://schemas.openxmlformats.org/officeDocument/2006/relationships/hyperlink" Target="http://www.centrocovarrubias.org/" TargetMode="External"/><Relationship Id="rId3186" Type="http://schemas.openxmlformats.org/officeDocument/2006/relationships/hyperlink" Target="https://www.youtube.com/channel/UCY60GBj-H8SmayRG1UgDVWw" TargetMode="External"/><Relationship Id="rId3393" Type="http://schemas.openxmlformats.org/officeDocument/2006/relationships/hyperlink" Target="http://atres.red/4ncii6086" TargetMode="External"/><Relationship Id="rId25" Type="http://schemas.openxmlformats.org/officeDocument/2006/relationships/hyperlink" Target="https://www.eldiario.es/_32502f6e" TargetMode="External"/><Relationship Id="rId1800" Type="http://schemas.openxmlformats.org/officeDocument/2006/relationships/hyperlink" Target="http://www.elconfidencialdigital.com/" TargetMode="External"/><Relationship Id="rId3046" Type="http://schemas.openxmlformats.org/officeDocument/2006/relationships/hyperlink" Target="https://www.abc.es/espana/abci-pedro-sanchez-llega-entre-abucheos-congreso-40-aniversario-constitucion-201812061227_noticia.html" TargetMode="External"/><Relationship Id="rId3253" Type="http://schemas.openxmlformats.org/officeDocument/2006/relationships/hyperlink" Target="https://twitter.com/WillyTolerdoo/status/1070672296409526272" TargetMode="External"/><Relationship Id="rId174" Type="http://schemas.openxmlformats.org/officeDocument/2006/relationships/hyperlink" Target="http://epmundo.com/2018/el-bombazo-que-lanzo-pedro-sanchez-sobre-las-elecciones-generales/" TargetMode="External"/><Relationship Id="rId381" Type="http://schemas.openxmlformats.org/officeDocument/2006/relationships/hyperlink" Target="http://www.elperiodico.com.do/" TargetMode="External"/><Relationship Id="rId2062" Type="http://schemas.openxmlformats.org/officeDocument/2006/relationships/hyperlink" Target="https://www.libertaddigital.com/espana/politica/2018-12-06/abuheo-general-a-pedro-sanchez-convoca-elecciones-1276629479/" TargetMode="External"/><Relationship Id="rId3113" Type="http://schemas.openxmlformats.org/officeDocument/2006/relationships/hyperlink" Target="https://pbs.twimg.com/media/DtvhQ-ZU4AEMimu.jpg" TargetMode="External"/><Relationship Id="rId241" Type="http://schemas.openxmlformats.org/officeDocument/2006/relationships/hyperlink" Target="http://www.dondiario.com/" TargetMode="External"/><Relationship Id="rId479" Type="http://schemas.openxmlformats.org/officeDocument/2006/relationships/hyperlink" Target="https://okdiario.com/economia/2018/12/08/italia-credibilidad-presupuestos-pedro-sanchez-denunciar-ue-trato-discriminatorio-3437675" TargetMode="External"/><Relationship Id="rId686" Type="http://schemas.openxmlformats.org/officeDocument/2006/relationships/hyperlink" Target="https://twitter.com/Enclenquestone/status/1071125498896502784" TargetMode="External"/><Relationship Id="rId893" Type="http://schemas.openxmlformats.org/officeDocument/2006/relationships/hyperlink" Target="https://twitter.com/rosadiezglez/status/1071051624091656192" TargetMode="External"/><Relationship Id="rId2367" Type="http://schemas.openxmlformats.org/officeDocument/2006/relationships/hyperlink" Target="https://twitter.com/TorresAren/status/1070633486531342336" TargetMode="External"/><Relationship Id="rId2574" Type="http://schemas.openxmlformats.org/officeDocument/2006/relationships/hyperlink" Target="https://www.abc.es/espana/abci-pedro-sanchez-llega-entre-abucheos-congreso-40-aniversario-constitucion-201812061227_noticia.html" TargetMode="External"/><Relationship Id="rId2781" Type="http://schemas.openxmlformats.org/officeDocument/2006/relationships/hyperlink" Target="https://www.elconfidencial.com/espana/2014-07-10/pedro-sanchez-esconde-que-fue-consejero-de-la-asamblea-de-caja-madrid-con-blesa_159568/?utm_source=twitter&amp;utm_medium=social&amp;utm_campaign=BotoneraWeb" TargetMode="External"/><Relationship Id="rId3320" Type="http://schemas.openxmlformats.org/officeDocument/2006/relationships/hyperlink" Target="http://pic.twitter.com/zNk8gbHobB" TargetMode="External"/><Relationship Id="rId3418" Type="http://schemas.openxmlformats.org/officeDocument/2006/relationships/hyperlink" Target="https://pbs.twimg.com/media/Dtu_XQJWkAAlRRk.jpg" TargetMode="External"/><Relationship Id="rId339" Type="http://schemas.openxmlformats.org/officeDocument/2006/relationships/hyperlink" Target="https://www.infobae.com/america/deportes/2018/12/07/el-presidente-espanol-pedro-sanchez-asistira-a-la-final-de-la-copa-libertadores-en-el-santiago-bernabeu/" TargetMode="External"/><Relationship Id="rId546" Type="http://schemas.openxmlformats.org/officeDocument/2006/relationships/hyperlink" Target="https://www.facebook.com/groups/1523383624657240/?fref=nf" TargetMode="External"/><Relationship Id="rId753" Type="http://schemas.openxmlformats.org/officeDocument/2006/relationships/hyperlink" Target="https://youtu.be/fYiPwn_347s" TargetMode="External"/><Relationship Id="rId1176" Type="http://schemas.openxmlformats.org/officeDocument/2006/relationships/hyperlink" Target="https://www.eldiario.es/_32458250" TargetMode="External"/><Relationship Id="rId1383" Type="http://schemas.openxmlformats.org/officeDocument/2006/relationships/hyperlink" Target="https://www.cope.es/n/306196" TargetMode="External"/><Relationship Id="rId2227" Type="http://schemas.openxmlformats.org/officeDocument/2006/relationships/hyperlink" Target="http://epmundo.com/" TargetMode="External"/><Relationship Id="rId2434" Type="http://schemas.openxmlformats.org/officeDocument/2006/relationships/hyperlink" Target="https://www.citizengo.org/hazteoir/166670-no-expolie-por-segunda-vez-archivo-salamanca" TargetMode="External"/><Relationship Id="rId2879" Type="http://schemas.openxmlformats.org/officeDocument/2006/relationships/hyperlink" Target="https://blogs.elconfidencial.com/espana/desde-fuera/2018-12-06/elecciones-andalucia-pedro-sanchez-susana-diaz-culpable-hundimiento-titanic-socialista_1688542/?utm_campaign=BotoneraWebapp&amp;utm_source=twitter&amp;utm_medium=social" TargetMode="External"/><Relationship Id="rId101" Type="http://schemas.openxmlformats.org/officeDocument/2006/relationships/hyperlink" Target="https://pbs.twimg.com/media/Dt51DQYW4AAt9EK.jpg" TargetMode="External"/><Relationship Id="rId406" Type="http://schemas.openxmlformats.org/officeDocument/2006/relationships/hyperlink" Target="https://www.libertaddigital.com/opinion/eduardo-goligorsky/la-derrota-de-los-reaccionarios-86663/" TargetMode="External"/><Relationship Id="rId960" Type="http://schemas.openxmlformats.org/officeDocument/2006/relationships/hyperlink" Target="http://bit.ly/EP_Venezuela" TargetMode="External"/><Relationship Id="rId1036" Type="http://schemas.openxmlformats.org/officeDocument/2006/relationships/hyperlink" Target="https://twitter.com/josebaazkarraga/status/1070633935267348480" TargetMode="External"/><Relationship Id="rId1243" Type="http://schemas.openxmlformats.org/officeDocument/2006/relationships/hyperlink" Target="https://www.elplural.com/opinion/brexit-tratado-de-utrecht-dos_207474102" TargetMode="External"/><Relationship Id="rId1590" Type="http://schemas.openxmlformats.org/officeDocument/2006/relationships/hyperlink" Target="http://www.hoyporhoy.es/" TargetMode="External"/><Relationship Id="rId1688" Type="http://schemas.openxmlformats.org/officeDocument/2006/relationships/hyperlink" Target="https://www.youtube.com/watch?v=fNkyCYCTeWE" TargetMode="External"/><Relationship Id="rId1895" Type="http://schemas.openxmlformats.org/officeDocument/2006/relationships/hyperlink" Target="https://www.esdiario.com/961568003/ADe-que-se-rie-Pedro-Sanchez.html" TargetMode="External"/><Relationship Id="rId2641" Type="http://schemas.openxmlformats.org/officeDocument/2006/relationships/hyperlink" Target="https://www.libertaddigital.com/espana/2018-12-06/pedro-sanchez-desconoce-la-constitucion-pide-reformarla-para-incluir-la-igualdad-entre-hombres-y-mujeres-1276629507/" TargetMode="External"/><Relationship Id="rId2739" Type="http://schemas.openxmlformats.org/officeDocument/2006/relationships/hyperlink" Target="https://www.esdiario.com/238196932/El-verdadero-CIS-de-Pedro-Sanchez-otro-espectacular-abucheo-en-el-Congreso.html" TargetMode="External"/><Relationship Id="rId2946" Type="http://schemas.openxmlformats.org/officeDocument/2006/relationships/hyperlink" Target="http://www.radiomitre.com.ar/" TargetMode="External"/><Relationship Id="rId613" Type="http://schemas.openxmlformats.org/officeDocument/2006/relationships/hyperlink" Target="https://buff.ly/2EhAset" TargetMode="External"/><Relationship Id="rId820" Type="http://schemas.openxmlformats.org/officeDocument/2006/relationships/hyperlink" Target="http://bit.ly/2UoMmrB" TargetMode="External"/><Relationship Id="rId918" Type="http://schemas.openxmlformats.org/officeDocument/2006/relationships/hyperlink" Target="http://galiciadiario.com/" TargetMode="External"/><Relationship Id="rId1450" Type="http://schemas.openxmlformats.org/officeDocument/2006/relationships/hyperlink" Target="https://pbs.twimg.com/media/Dt0MSf0XcAA-MSX.jpg" TargetMode="External"/><Relationship Id="rId1548" Type="http://schemas.openxmlformats.org/officeDocument/2006/relationships/hyperlink" Target="https://okdiario.com/espana/2018/12/07/pedro-sanchez-reformar-constitucion-incluir-igualdad-hombres-mujeres-articulo-14-desde-hace-40-anos-3437620" TargetMode="External"/><Relationship Id="rId1755" Type="http://schemas.openxmlformats.org/officeDocument/2006/relationships/hyperlink" Target="https://www.facebook.com/457016297665308/posts/2277893982244188/" TargetMode="External"/><Relationship Id="rId2501" Type="http://schemas.openxmlformats.org/officeDocument/2006/relationships/hyperlink" Target="https://pbs.twimg.com/media/Dtws00yWwAEtbkk.jpg" TargetMode="External"/><Relationship Id="rId1103" Type="http://schemas.openxmlformats.org/officeDocument/2006/relationships/hyperlink" Target="http://ow.ly/BmwS30mTVKL" TargetMode="External"/><Relationship Id="rId1310" Type="http://schemas.openxmlformats.org/officeDocument/2006/relationships/hyperlink" Target="https://www.eurosport.es/futbol/pedro-sanchez-asistira-a-la-final-de-la-copa-libertadores-en-el-bernabeu_sto7041824/story.shtml" TargetMode="External"/><Relationship Id="rId1408" Type="http://schemas.openxmlformats.org/officeDocument/2006/relationships/hyperlink" Target="http://www.eleconomista.es/opinion-blogs/noticias/9464980/10/18/Las-cuentas-de-pedro-Sanchez-y-la-senda-a-ninguna-parte.html" TargetMode="External"/><Relationship Id="rId1962" Type="http://schemas.openxmlformats.org/officeDocument/2006/relationships/hyperlink" Target="https://pbs.twimg.com/media/DtzJG7jW0AEzojJ.jpg" TargetMode="External"/><Relationship Id="rId2806" Type="http://schemas.openxmlformats.org/officeDocument/2006/relationships/hyperlink" Target="https://pbs.twimg.com/media/DtvhLEWW0AAtobf.jpg" TargetMode="External"/><Relationship Id="rId47" Type="http://schemas.openxmlformats.org/officeDocument/2006/relationships/hyperlink" Target="http://espana.abc.es/intbt2" TargetMode="External"/><Relationship Id="rId1615" Type="http://schemas.openxmlformats.org/officeDocument/2006/relationships/hyperlink" Target="http://www.sajimes.blogspot.com/" TargetMode="External"/><Relationship Id="rId1822" Type="http://schemas.openxmlformats.org/officeDocument/2006/relationships/hyperlink" Target="https://www.eldiario.es/politica/Pedro-Sanchez-Casado-Rivera-electoral_0_843416123.html" TargetMode="External"/><Relationship Id="rId3068" Type="http://schemas.openxmlformats.org/officeDocument/2006/relationships/hyperlink" Target="https://www.lavanguardia.com/politica/20181206/453397537702/pedro-sanchez-elecciones-reunion-quim-torra-21-de-diciembre.html" TargetMode="External"/><Relationship Id="rId3275" Type="http://schemas.openxmlformats.org/officeDocument/2006/relationships/hyperlink" Target="https://www.libertaddigital.com/espana/politica/2018-12-06/abuheo-general-a-pedro-sanchez-convoca-elecciones-1276629479/" TargetMode="External"/><Relationship Id="rId196" Type="http://schemas.openxmlformats.org/officeDocument/2006/relationships/hyperlink" Target="https://pinterest.com/menttegato/" TargetMode="External"/><Relationship Id="rId2084" Type="http://schemas.openxmlformats.org/officeDocument/2006/relationships/hyperlink" Target="https://www.esdiario.com/238196932/El-verdadero-CIS-de-Pedro-Sanchez-otro-espectacular-abucheo-en-el-Congreso.html" TargetMode="External"/><Relationship Id="rId2291" Type="http://schemas.openxmlformats.org/officeDocument/2006/relationships/hyperlink" Target="https://www.libertaddigital.com/espana/2018-12-06/pedro-sanchez-desconoce-la-constitucion-pide-reformarla-para-incluir-la-igualdad-entre-hombres-y-mujeres-1276629507/" TargetMode="External"/><Relationship Id="rId3135" Type="http://schemas.openxmlformats.org/officeDocument/2006/relationships/hyperlink" Target="http://www.jorgeurreta.com/" TargetMode="External"/><Relationship Id="rId3342" Type="http://schemas.openxmlformats.org/officeDocument/2006/relationships/hyperlink" Target="https://blogs.elconfidencial.com/espana/desde-fuera/2018-12-06/elecciones-andalucia-pedro-sanchez-susana-diaz-culpable-hundimiento-titanic-socialista_1688542/?utm_source=twitter&amp;utm_medium=social&amp;utm_campaign=ECDiarioManual" TargetMode="External"/><Relationship Id="rId263" Type="http://schemas.openxmlformats.org/officeDocument/2006/relationships/hyperlink" Target="http://www.sajimes.blogspot.com/" TargetMode="External"/><Relationship Id="rId470" Type="http://schemas.openxmlformats.org/officeDocument/2006/relationships/hyperlink" Target="https://www.facebook.com/LaOtraPalencia/" TargetMode="External"/><Relationship Id="rId2151" Type="http://schemas.openxmlformats.org/officeDocument/2006/relationships/hyperlink" Target="http://epmundo.com/" TargetMode="External"/><Relationship Id="rId2389" Type="http://schemas.openxmlformats.org/officeDocument/2006/relationships/hyperlink" Target="https://pbs.twimg.com/media/Dtp57MoW0AAQDpT.jpg" TargetMode="External"/><Relationship Id="rId2596" Type="http://schemas.openxmlformats.org/officeDocument/2006/relationships/hyperlink" Target="https://pbs.twimg.com/media/DtwD3bhX4AA_qWG.jpg" TargetMode="External"/><Relationship Id="rId3202" Type="http://schemas.openxmlformats.org/officeDocument/2006/relationships/hyperlink" Target="http://bit.ly/CsMadridCiudad" TargetMode="External"/><Relationship Id="rId123" Type="http://schemas.openxmlformats.org/officeDocument/2006/relationships/hyperlink" Target="http://www.ramoncollado.com/" TargetMode="External"/><Relationship Id="rId330" Type="http://schemas.openxmlformats.org/officeDocument/2006/relationships/hyperlink" Target="https://pbs.twimg.com/media/Dt5MPWeVYAEHHTR.jpg" TargetMode="External"/><Relationship Id="rId568" Type="http://schemas.openxmlformats.org/officeDocument/2006/relationships/hyperlink" Target="http://latelenegocios.com/sanchez-ofrece-a-los-separatistas-reconocer-a-cataluna-como-nacion-a-cambio-del-si-a-los-presupuestos-okdiario" TargetMode="External"/><Relationship Id="rId775" Type="http://schemas.openxmlformats.org/officeDocument/2006/relationships/hyperlink" Target="https://www.cope.es/n/306196" TargetMode="External"/><Relationship Id="rId982" Type="http://schemas.openxmlformats.org/officeDocument/2006/relationships/hyperlink" Target="http://www.demadridabilbao.wordpress.com/" TargetMode="External"/><Relationship Id="rId1198" Type="http://schemas.openxmlformats.org/officeDocument/2006/relationships/hyperlink" Target="https://gunow.vcoud.com/post/Pedro-Sanchez-asistira-a-la-final-de-la-Copa-Libertadores-en-el-Bernabeu-La-Patilla" TargetMode="External"/><Relationship Id="rId2011" Type="http://schemas.openxmlformats.org/officeDocument/2006/relationships/hyperlink" Target="https://elpais.com/politica/2018/12/06/actualidad/1544108922_690929.html" TargetMode="External"/><Relationship Id="rId2249" Type="http://schemas.openxmlformats.org/officeDocument/2006/relationships/hyperlink" Target="http://www.convivenciaysolidaridad.blogspot.com/" TargetMode="External"/><Relationship Id="rId2456" Type="http://schemas.openxmlformats.org/officeDocument/2006/relationships/hyperlink" Target="http://www.valeriodistefano.com/" TargetMode="External"/><Relationship Id="rId2663" Type="http://schemas.openxmlformats.org/officeDocument/2006/relationships/hyperlink" Target="https://pbs.twimg.com/media/DtwbU3WXcAU_tyU.jpg" TargetMode="External"/><Relationship Id="rId2870" Type="http://schemas.openxmlformats.org/officeDocument/2006/relationships/hyperlink" Target="http://pic.twitter.com/sjQdKDqZaB" TargetMode="External"/><Relationship Id="rId428" Type="http://schemas.openxmlformats.org/officeDocument/2006/relationships/hyperlink" Target="https://www.elmundo.es/opinion/2018/12/08/5c0a7228fc6c8346058b45e9.html" TargetMode="External"/><Relationship Id="rId635" Type="http://schemas.openxmlformats.org/officeDocument/2006/relationships/hyperlink" Target="https://pbs.twimg.com/media/Dt3KuLRU4AA1K1C.jpg" TargetMode="External"/><Relationship Id="rId842" Type="http://schemas.openxmlformats.org/officeDocument/2006/relationships/hyperlink" Target="http://pic.twitter.com/FCFmDK2ovf" TargetMode="External"/><Relationship Id="rId1058" Type="http://schemas.openxmlformats.org/officeDocument/2006/relationships/hyperlink" Target="https://www.infobae.com/america/deportes/2018/12/07/el-presidente-espanol-pedro-sanchez-asistira-a-la-final-de-la-copa-libertadores-en-el-santiago-bernabeu/" TargetMode="External"/><Relationship Id="rId1265" Type="http://schemas.openxmlformats.org/officeDocument/2006/relationships/hyperlink" Target="https://www.cope.es/n/306196" TargetMode="External"/><Relationship Id="rId1472" Type="http://schemas.openxmlformats.org/officeDocument/2006/relationships/hyperlink" Target="http://www.infolibre.es/" TargetMode="External"/><Relationship Id="rId2109" Type="http://schemas.openxmlformats.org/officeDocument/2006/relationships/hyperlink" Target="http://www.eldiario.es/" TargetMode="External"/><Relationship Id="rId2316" Type="http://schemas.openxmlformats.org/officeDocument/2006/relationships/hyperlink" Target="https://www.esdiario.com/238196932/El-verdadero-CIS-de-Pedro-Sanchez-otro-espectacular-abucheo-en-el-Congreso.html" TargetMode="External"/><Relationship Id="rId2523" Type="http://schemas.openxmlformats.org/officeDocument/2006/relationships/hyperlink" Target="https://www.libertaddigital.com/espana/politica/2018-12-06/abuheo-general-a-pedro-sanchez-convoca-elecciones-1276629479/" TargetMode="External"/><Relationship Id="rId2730" Type="http://schemas.openxmlformats.org/officeDocument/2006/relationships/hyperlink" Target="http://www.jorgeurreta.com/" TargetMode="External"/><Relationship Id="rId2968" Type="http://schemas.openxmlformats.org/officeDocument/2006/relationships/hyperlink" Target="http://ver.abc.es/flufc2" TargetMode="External"/><Relationship Id="rId702" Type="http://schemas.openxmlformats.org/officeDocument/2006/relationships/hyperlink" Target="http://ow.ly/p3F930mTUmz" TargetMode="External"/><Relationship Id="rId1125" Type="http://schemas.openxmlformats.org/officeDocument/2006/relationships/hyperlink" Target="http://www.ramblalibre.com/" TargetMode="External"/><Relationship Id="rId1332" Type="http://schemas.openxmlformats.org/officeDocument/2006/relationships/hyperlink" Target="https://www.libertaddigital.com/espana/2018-12-06/pedro-sanchez-desconoce-la-constitucion-pide-reformarla-para-incluir-la-igualdad-entre-hombres-y-mujeres-1276629507/" TargetMode="External"/><Relationship Id="rId1777" Type="http://schemas.openxmlformats.org/officeDocument/2006/relationships/hyperlink" Target="https://www.libertaddigital.com/espana/2018-12-06/pedro-sanchez-descarta-elecciones-en-marzo-pero-abre-la-puerta-a-mayo-1276629489/" TargetMode="External"/><Relationship Id="rId1984" Type="http://schemas.openxmlformats.org/officeDocument/2006/relationships/hyperlink" Target="https://m.eldiario.es/_32458250" TargetMode="External"/><Relationship Id="rId2828" Type="http://schemas.openxmlformats.org/officeDocument/2006/relationships/hyperlink" Target="http://atres.red/0sseh5" TargetMode="External"/><Relationship Id="rId69" Type="http://schemas.openxmlformats.org/officeDocument/2006/relationships/hyperlink" Target="https://www.elconfidencial.com/espana/2018-12-08/pedro-sanchez-lisboa-congreso-pes-antonio-costa-hacer-mucho-mas-ultraderecha_1693226/?utm_source=twitter&amp;utm_medium=social&amp;utm_campaign=BotoneraWeb" TargetMode="External"/><Relationship Id="rId1637" Type="http://schemas.openxmlformats.org/officeDocument/2006/relationships/hyperlink" Target="https://www.facebook.com/1604312529864352/videos/vb.1604312529864352/1965030107125924/?type=3&amp;theater" TargetMode="External"/><Relationship Id="rId1844" Type="http://schemas.openxmlformats.org/officeDocument/2006/relationships/hyperlink" Target="http://tv.libertaddigital.com/" TargetMode="External"/><Relationship Id="rId3297" Type="http://schemas.openxmlformats.org/officeDocument/2006/relationships/hyperlink" Target="http://www.lextres.com/" TargetMode="External"/><Relationship Id="rId1704" Type="http://schemas.openxmlformats.org/officeDocument/2006/relationships/hyperlink" Target="http://www.cope.es/" TargetMode="External"/><Relationship Id="rId3157" Type="http://schemas.openxmlformats.org/officeDocument/2006/relationships/hyperlink" Target="http://www.europapress.es/andalucia/" TargetMode="External"/><Relationship Id="rId285" Type="http://schemas.openxmlformats.org/officeDocument/2006/relationships/hyperlink" Target="https://www.guadanews.es/noticia/52792/en-portada/el-poder-judicial-exige-al-ministro-del-interior-del-gobierno-socialista-de-pedro-sanchez-fernando-grande-marlaska-mas-proteccion-para-los-jueces-en-cataluna.html" TargetMode="External"/><Relationship Id="rId1911" Type="http://schemas.openxmlformats.org/officeDocument/2006/relationships/hyperlink" Target="https://www.eldiario.es/_32458250" TargetMode="External"/><Relationship Id="rId3364" Type="http://schemas.openxmlformats.org/officeDocument/2006/relationships/hyperlink" Target="http://bit.ly/EP_Venezuela" TargetMode="External"/><Relationship Id="rId492" Type="http://schemas.openxmlformats.org/officeDocument/2006/relationships/hyperlink" Target="https://www.lavanguardia.com/economia/20181207/453403582708/deficit-gobierno-presupuestos-pedro-sanchez-consejo-de-ministros.html" TargetMode="External"/><Relationship Id="rId797" Type="http://schemas.openxmlformats.org/officeDocument/2006/relationships/hyperlink" Target="http://www.alertadigital.com/2018/12/07/que-tiene-pedro-sanchez-contra-su-suegro-el-psoe-propone-multar-a-los-clientes-de-la-prostitucion/" TargetMode="External"/><Relationship Id="rId2173" Type="http://schemas.openxmlformats.org/officeDocument/2006/relationships/hyperlink" Target="https://bit.ly/2Sx3CJn" TargetMode="External"/><Relationship Id="rId2380" Type="http://schemas.openxmlformats.org/officeDocument/2006/relationships/hyperlink" Target="https://pbs.twimg.com/media/DtvJGiLW0AAhUcI.jpg" TargetMode="External"/><Relationship Id="rId2478" Type="http://schemas.openxmlformats.org/officeDocument/2006/relationships/hyperlink" Target="https://www.instagram.com/crisnpatience/" TargetMode="External"/><Relationship Id="rId3017" Type="http://schemas.openxmlformats.org/officeDocument/2006/relationships/hyperlink" Target="http://www.elindependientedegranada.es/politica/pedro-sanchez-cree-que-abrira-paso-antes-consorcio-derechas-andalucia-que-repeticion" TargetMode="External"/><Relationship Id="rId3224" Type="http://schemas.openxmlformats.org/officeDocument/2006/relationships/hyperlink" Target="https://goo.gl/WcCPmx" TargetMode="External"/><Relationship Id="rId3431" Type="http://schemas.openxmlformats.org/officeDocument/2006/relationships/hyperlink" Target="https://www.abc.es/espana/abci-pedro-sanchez-impulso-constitucional-para-cambio-epoca-201812060240_noticia.html" TargetMode="External"/><Relationship Id="rId145" Type="http://schemas.openxmlformats.org/officeDocument/2006/relationships/hyperlink" Target="http://www.eldiario.es/" TargetMode="External"/><Relationship Id="rId352" Type="http://schemas.openxmlformats.org/officeDocument/2006/relationships/hyperlink" Target="http://bit.ly/EP_Venezuela" TargetMode="External"/><Relationship Id="rId1287" Type="http://schemas.openxmlformats.org/officeDocument/2006/relationships/hyperlink" Target="https://www.youtube.com/watch?v=IZfcG0rPxrs" TargetMode="External"/><Relationship Id="rId2033" Type="http://schemas.openxmlformats.org/officeDocument/2006/relationships/hyperlink" Target="https://www.eldiario.es/_3245823b" TargetMode="External"/><Relationship Id="rId2240" Type="http://schemas.openxmlformats.org/officeDocument/2006/relationships/hyperlink" Target="https://m.eldiario.es/_32458250" TargetMode="External"/><Relationship Id="rId2685" Type="http://schemas.openxmlformats.org/officeDocument/2006/relationships/hyperlink" Target="https://pbs.twimg.com/media/DtwNjKZXQAASRzb.jpg" TargetMode="External"/><Relationship Id="rId2892" Type="http://schemas.openxmlformats.org/officeDocument/2006/relationships/hyperlink" Target="https://www.youtube.com/watch?v=_ifz81LmVRE" TargetMode="External"/><Relationship Id="rId212" Type="http://schemas.openxmlformats.org/officeDocument/2006/relationships/hyperlink" Target="https://www.libremercado.com/2018-12-07/el-populismo-de-pedro-sanchez-se-extiende-al-sector-energetico-1276629287/" TargetMode="External"/><Relationship Id="rId657" Type="http://schemas.openxmlformats.org/officeDocument/2006/relationships/hyperlink" Target="https://pbs.twimg.com/media/Dt2zrJbWwAAaWkH.jpg" TargetMode="External"/><Relationship Id="rId864" Type="http://schemas.openxmlformats.org/officeDocument/2006/relationships/hyperlink" Target="http://epmundo.com/2018/descontentos-asi-recibieron-a-pedro-sanchez-en-el-congreso-video/" TargetMode="External"/><Relationship Id="rId1494" Type="http://schemas.openxmlformats.org/officeDocument/2006/relationships/hyperlink" Target="http://www.notinewsmiami.com/" TargetMode="External"/><Relationship Id="rId1799" Type="http://schemas.openxmlformats.org/officeDocument/2006/relationships/hyperlink" Target="http://somosecd.com/wp4pa4" TargetMode="External"/><Relationship Id="rId2100" Type="http://schemas.openxmlformats.org/officeDocument/2006/relationships/hyperlink" Target="http://www.jorgeurreta.com/" TargetMode="External"/><Relationship Id="rId2338" Type="http://schemas.openxmlformats.org/officeDocument/2006/relationships/hyperlink" Target="https://www.libertaddigital.com/espana/politica/2018-12-06/abuheo-general-a-pedro-sanchez-convoca-elecciones-1276629479/" TargetMode="External"/><Relationship Id="rId2545" Type="http://schemas.openxmlformats.org/officeDocument/2006/relationships/hyperlink" Target="http://www.pensamientosreducidos.es/" TargetMode="External"/><Relationship Id="rId2752" Type="http://schemas.openxmlformats.org/officeDocument/2006/relationships/hyperlink" Target="http://blogmiyares.blogspot.com/" TargetMode="External"/><Relationship Id="rId517" Type="http://schemas.openxmlformats.org/officeDocument/2006/relationships/hyperlink" Target="https://twitter.com/azota_progres/status/1070944195584712705" TargetMode="External"/><Relationship Id="rId724" Type="http://schemas.openxmlformats.org/officeDocument/2006/relationships/hyperlink" Target="https://pbs.twimg.com/media/Dt2UPx4VAAAZxi5.jpg" TargetMode="External"/><Relationship Id="rId931" Type="http://schemas.openxmlformats.org/officeDocument/2006/relationships/hyperlink" Target="http://politica.elpais.com/" TargetMode="External"/><Relationship Id="rId1147" Type="http://schemas.openxmlformats.org/officeDocument/2006/relationships/hyperlink" Target="https://elpais.com/politica/2018/12/07/actualidad/1544192692_171557.html?id_externo_rsoc=TW_CC" TargetMode="External"/><Relationship Id="rId1354" Type="http://schemas.openxmlformats.org/officeDocument/2006/relationships/hyperlink" Target="http://pic.twitter.com/c9He0WTj75" TargetMode="External"/><Relationship Id="rId1561" Type="http://schemas.openxmlformats.org/officeDocument/2006/relationships/hyperlink" Target="https://twitter.com/sanchezcastejon/status/1070736196228317184" TargetMode="External"/><Relationship Id="rId2405" Type="http://schemas.openxmlformats.org/officeDocument/2006/relationships/hyperlink" Target="http://feedproxy.google.com/~r/libertaddigital/nacional/~3/7wJ1VFudM_s/?utm_source=dlvr.it&amp;utm_medium=twitter" TargetMode="External"/><Relationship Id="rId2612" Type="http://schemas.openxmlformats.org/officeDocument/2006/relationships/hyperlink" Target="https://pbs.twimg.com/media/DtwgAWsX4AEn6pa.jpg" TargetMode="External"/><Relationship Id="rId60" Type="http://schemas.openxmlformats.org/officeDocument/2006/relationships/hyperlink" Target="https://amp.20minutos.es/noticia/3511559/0/pedro-sanchez-proeuropeo-apoyarse-fuerzas-antieuropeistas-gobernar/" TargetMode="External"/><Relationship Id="rId1007" Type="http://schemas.openxmlformats.org/officeDocument/2006/relationships/hyperlink" Target="http://www.attac-na.org/" TargetMode="External"/><Relationship Id="rId1214" Type="http://schemas.openxmlformats.org/officeDocument/2006/relationships/hyperlink" Target="http://www.entornointeligente.com/" TargetMode="External"/><Relationship Id="rId1421" Type="http://schemas.openxmlformats.org/officeDocument/2006/relationships/hyperlink" Target="https://www.linkedin.com/in/daniel-plaza-acosta-114a0513a/" TargetMode="External"/><Relationship Id="rId1659" Type="http://schemas.openxmlformats.org/officeDocument/2006/relationships/hyperlink" Target="https://www.mediterraneodigital.com/espana/espana/ridiculo-apoteosico-pedro-sanchez-pide-reformar-la-constitucion-para-incluir-un-articulo-que-ya-existe.html" TargetMode="External"/><Relationship Id="rId1866" Type="http://schemas.openxmlformats.org/officeDocument/2006/relationships/hyperlink" Target="http://paper.li/lobo_solito/1343408781" TargetMode="External"/><Relationship Id="rId2917" Type="http://schemas.openxmlformats.org/officeDocument/2006/relationships/hyperlink" Target="http://losmocanos54.com/" TargetMode="External"/><Relationship Id="rId3081" Type="http://schemas.openxmlformats.org/officeDocument/2006/relationships/hyperlink" Target="https://www.lavanguardia.com/politica/20181206/453397537702/pedro-sanchez-elecciones-reunion-quim-torra-21-de-diciembre.html?utm_campaign=botones_sociales_app" TargetMode="External"/><Relationship Id="rId1519" Type="http://schemas.openxmlformats.org/officeDocument/2006/relationships/hyperlink" Target="http://www.jaenmagazine.es/" TargetMode="External"/><Relationship Id="rId1726" Type="http://schemas.openxmlformats.org/officeDocument/2006/relationships/hyperlink" Target="https://www.eldiario.es/politica/Pedro-Sanchez-Casado-Rivera-electoral_0_843416123.html" TargetMode="External"/><Relationship Id="rId1933" Type="http://schemas.openxmlformats.org/officeDocument/2006/relationships/hyperlink" Target="https://okdiario.com/espana/2018/12/07/pedro-sanchez-reformar-constitucion-incluir-igualdad-hombres-mujeres-articulo-14-desde-hace-40-anos-3437620" TargetMode="External"/><Relationship Id="rId3179" Type="http://schemas.openxmlformats.org/officeDocument/2006/relationships/hyperlink" Target="http://www.facebook.com/MaferRamirez23" TargetMode="External"/><Relationship Id="rId3386" Type="http://schemas.openxmlformats.org/officeDocument/2006/relationships/hyperlink" Target="https://okdiario.com/espana/2018/12/06/pedro-sanchez-no-forzara-relevo-susana-diaz-dejara-psoe-andaluz-fulmine-3434507" TargetMode="External"/><Relationship Id="rId18" Type="http://schemas.openxmlformats.org/officeDocument/2006/relationships/hyperlink" Target="https://youtu.be/O5jm3v4p0p0?t=335" TargetMode="External"/><Relationship Id="rId2195" Type="http://schemas.openxmlformats.org/officeDocument/2006/relationships/hyperlink" Target="http://epmundo.com/2018/descontentos-asi-recibieron-a-pedro-sanchez-en-el-congreso-video/" TargetMode="External"/><Relationship Id="rId3039" Type="http://schemas.openxmlformats.org/officeDocument/2006/relationships/hyperlink" Target="http://www.diariodepontevedra.es/" TargetMode="External"/><Relationship Id="rId3246" Type="http://schemas.openxmlformats.org/officeDocument/2006/relationships/hyperlink" Target="http://josesimongracia.es/el-peligroso-desafio-de-pedro-sanchez/" TargetMode="External"/><Relationship Id="rId167" Type="http://schemas.openxmlformats.org/officeDocument/2006/relationships/hyperlink" Target="http://epmundo.com/2018/el-bombazo-que-lanzo-pedro-sanchez-sobre-las-elecciones-generales/?utm_source=twitter&amp;utm_medium=social&amp;utm_campaign=ReviveOldPost" TargetMode="External"/><Relationship Id="rId374" Type="http://schemas.openxmlformats.org/officeDocument/2006/relationships/hyperlink" Target="http://www.huffingtonpost.es/" TargetMode="External"/><Relationship Id="rId581" Type="http://schemas.openxmlformats.org/officeDocument/2006/relationships/hyperlink" Target="https://www.periodistadigital.com/periodismo/prensa/2018/12/08/jaime-penafiel-incendia-lamoncloa-hablando-homosexualidad-ministras-sanchez.shtml" TargetMode="External"/><Relationship Id="rId2055" Type="http://schemas.openxmlformats.org/officeDocument/2006/relationships/hyperlink" Target="http://pic.twitter.com/76Su92XrdE" TargetMode="External"/><Relationship Id="rId2262" Type="http://schemas.openxmlformats.org/officeDocument/2006/relationships/hyperlink" Target="http://www.elnuevopais.net/" TargetMode="External"/><Relationship Id="rId3106" Type="http://schemas.openxmlformats.org/officeDocument/2006/relationships/hyperlink" Target="http://foetbal247.com/" TargetMode="External"/><Relationship Id="rId234" Type="http://schemas.openxmlformats.org/officeDocument/2006/relationships/hyperlink" Target="http://okdiario.com/economia/2018/12/08/italia-credibilidad-presupuestos-pedro-sanchez-denunciar-ue-trato-discriminatorio-3437675" TargetMode="External"/><Relationship Id="rId679" Type="http://schemas.openxmlformats.org/officeDocument/2006/relationships/hyperlink" Target="https://www.cope.es/n/306196" TargetMode="External"/><Relationship Id="rId886" Type="http://schemas.openxmlformats.org/officeDocument/2006/relationships/hyperlink" Target="https://www.libertaddigital.com/espana/" TargetMode="External"/><Relationship Id="rId2567" Type="http://schemas.openxmlformats.org/officeDocument/2006/relationships/hyperlink" Target="https://goo.gl/URx7YP" TargetMode="External"/><Relationship Id="rId2774" Type="http://schemas.openxmlformats.org/officeDocument/2006/relationships/hyperlink" Target="http://bit.ly/2UnsVPO" TargetMode="External"/><Relationship Id="rId3313" Type="http://schemas.openxmlformats.org/officeDocument/2006/relationships/hyperlink" Target="https://pbs.twimg.com/media/DtvJGiLW0AAhUcI.jpg" TargetMode="External"/><Relationship Id="rId2" Type="http://schemas.openxmlformats.org/officeDocument/2006/relationships/hyperlink" Target="https://okdiario.com/economia/2018/12/08/italia-credibilidad-presupuestos-pedro-sanchez-denunciar-ue-trato-discriminatorio-3437675" TargetMode="External"/><Relationship Id="rId441" Type="http://schemas.openxmlformats.org/officeDocument/2006/relationships/hyperlink" Target="https://pbs.twimg.com/media/Dt4toCzX4AE9caa.jpg" TargetMode="External"/><Relationship Id="rId539" Type="http://schemas.openxmlformats.org/officeDocument/2006/relationships/hyperlink" Target="http://www.casoaislado.com/" TargetMode="External"/><Relationship Id="rId746" Type="http://schemas.openxmlformats.org/officeDocument/2006/relationships/hyperlink" Target="https://www.libremercado.com/2018-12-07/el-populismo-de-pedro-sanchez-se-extiende-al-sector-energetico-1276629287/" TargetMode="External"/><Relationship Id="rId1071" Type="http://schemas.openxmlformats.org/officeDocument/2006/relationships/hyperlink" Target="https://www.alertanacional.es/el-psoe-contra-el-suegro-de-pedro-sanchez-propone-multar-a-los-clientes-de-la-prostitucion/" TargetMode="External"/><Relationship Id="rId1169" Type="http://schemas.openxmlformats.org/officeDocument/2006/relationships/hyperlink" Target="http://www.zapper.news/" TargetMode="External"/><Relationship Id="rId1376" Type="http://schemas.openxmlformats.org/officeDocument/2006/relationships/hyperlink" Target="https://pbs.twimg.com/media/DtwD3bhX4AA_qWG.jpg" TargetMode="External"/><Relationship Id="rId1583" Type="http://schemas.openxmlformats.org/officeDocument/2006/relationships/hyperlink" Target="https://www.economiadigital.es/politica-y-sociedad/quim-torra-ayunara-antes-de-la-visita-de-pedro-sanchez-a-barcelona_592919_102.html" TargetMode="External"/><Relationship Id="rId2122" Type="http://schemas.openxmlformats.org/officeDocument/2006/relationships/hyperlink" Target="https://www.libertaddigital.com/espana/politica/2018-12-06/abuheo-general-a-pedro-sanchez-convoca-elecciones-1276629479/" TargetMode="External"/><Relationship Id="rId2427" Type="http://schemas.openxmlformats.org/officeDocument/2006/relationships/hyperlink" Target="http://pic.twitter.com/NSWiz0jV9z" TargetMode="External"/><Relationship Id="rId2981" Type="http://schemas.openxmlformats.org/officeDocument/2006/relationships/hyperlink" Target="http://lrzn.es/ktuba3" TargetMode="External"/><Relationship Id="rId301" Type="http://schemas.openxmlformats.org/officeDocument/2006/relationships/hyperlink" Target="http://www.ppmurcia.org/" TargetMode="External"/><Relationship Id="rId953" Type="http://schemas.openxmlformats.org/officeDocument/2006/relationships/hyperlink" Target="https://pbs.twimg.com/media/Dt1bH4VW0AIn42H.jpg" TargetMode="External"/><Relationship Id="rId1029" Type="http://schemas.openxmlformats.org/officeDocument/2006/relationships/hyperlink" Target="https://twitter.com/tr88trader/status/1070806296075624448" TargetMode="External"/><Relationship Id="rId1236" Type="http://schemas.openxmlformats.org/officeDocument/2006/relationships/hyperlink" Target="http://epmundo.com/2018/el-bombazo-que-lanzo-pedro-sanchez-sobre-las-elecciones-generales/?utm_source=twitter&amp;utm_medium=social&amp;utm_campaign=ReviveOldPost" TargetMode="External"/><Relationship Id="rId1790" Type="http://schemas.openxmlformats.org/officeDocument/2006/relationships/hyperlink" Target="http://pic.twitter.com/8uymsGOCNs" TargetMode="External"/><Relationship Id="rId1888" Type="http://schemas.openxmlformats.org/officeDocument/2006/relationships/hyperlink" Target="https://www.instagram.com/maurowetsand/?hl=es" TargetMode="External"/><Relationship Id="rId2634" Type="http://schemas.openxmlformats.org/officeDocument/2006/relationships/hyperlink" Target="https://www.libertaddigital.com/espana/2018-12-06/pedro-sanchez-desconoce-la-constitucion-pide-reformarla-para-incluir-la-igualdad-entre-hombres-y-mujeres-1276629507/" TargetMode="External"/><Relationship Id="rId2841" Type="http://schemas.openxmlformats.org/officeDocument/2006/relationships/hyperlink" Target="http://ow.ly/MQwF30mTkMf" TargetMode="External"/><Relationship Id="rId2939" Type="http://schemas.openxmlformats.org/officeDocument/2006/relationships/hyperlink" Target="http://ow.ly/ouFS30mThgW" TargetMode="External"/><Relationship Id="rId82" Type="http://schemas.openxmlformats.org/officeDocument/2006/relationships/hyperlink" Target="https://www.abc.es/espana/abci-pedro-sanchez-alerta-auge-extrema-derecha-europa-201812081647_noticia.html" TargetMode="External"/><Relationship Id="rId606" Type="http://schemas.openxmlformats.org/officeDocument/2006/relationships/hyperlink" Target="https://pbs.twimg.com/media/Dt3r1nPXcAETZW5.jpg" TargetMode="External"/><Relationship Id="rId813" Type="http://schemas.openxmlformats.org/officeDocument/2006/relationships/hyperlink" Target="https://www.elconfidencial.com/deportes/futbol/2018-12-07/pedro-sanchez-final-copa-libertadores-river-boca-macri_1692622/?utm_source=twitter&amp;utm_medium=social&amp;utm_campaign=BotoneraWeb" TargetMode="External"/><Relationship Id="rId1443" Type="http://schemas.openxmlformats.org/officeDocument/2006/relationships/hyperlink" Target="https://instagram.com/salva_escudero/" TargetMode="External"/><Relationship Id="rId1650" Type="http://schemas.openxmlformats.org/officeDocument/2006/relationships/hyperlink" Target="https://bit.ly/2Sx3CJn" TargetMode="External"/><Relationship Id="rId1748" Type="http://schemas.openxmlformats.org/officeDocument/2006/relationships/hyperlink" Target="https://www.libertaddigital.com/espana/politica/2018-12-06/abuheo-general-a-pedro-sanchez-convoca-elecciones-1276629479/" TargetMode="External"/><Relationship Id="rId2701" Type="http://schemas.openxmlformats.org/officeDocument/2006/relationships/hyperlink" Target="https://www.eldiario.es/_32458250" TargetMode="External"/><Relationship Id="rId1303" Type="http://schemas.openxmlformats.org/officeDocument/2006/relationships/hyperlink" Target="http://ver.abc.es/77ui01" TargetMode="External"/><Relationship Id="rId1510" Type="http://schemas.openxmlformats.org/officeDocument/2006/relationships/hyperlink" Target="http://www.elcorreodemadrid.com/" TargetMode="External"/><Relationship Id="rId1955" Type="http://schemas.openxmlformats.org/officeDocument/2006/relationships/hyperlink" Target="http://pic.twitter.com/jAVTfd9Hks" TargetMode="External"/><Relationship Id="rId3170" Type="http://schemas.openxmlformats.org/officeDocument/2006/relationships/hyperlink" Target="http://www.multiforo.eu/" TargetMode="External"/><Relationship Id="rId1608" Type="http://schemas.openxmlformats.org/officeDocument/2006/relationships/hyperlink" Target="https://pbs.twimg.com/media/Dtz4IXWX4AA1MSe.jpg" TargetMode="External"/><Relationship Id="rId1815" Type="http://schemas.openxmlformats.org/officeDocument/2006/relationships/hyperlink" Target="http://www.lavanguardia.com/" TargetMode="External"/><Relationship Id="rId3030" Type="http://schemas.openxmlformats.org/officeDocument/2006/relationships/hyperlink" Target="https://www.galiciae.com/gl/video/videos/pedro-sanchez-recibe-abucheos-llegada-salida-homenaje-constitucion/20181206164210047980.html" TargetMode="External"/><Relationship Id="rId3268" Type="http://schemas.openxmlformats.org/officeDocument/2006/relationships/hyperlink" Target="https://www.guadanews.es/noticia/52761/en-portada/ovacion-y-aplausos-a-los-reyes-pedro-sanchez-abucheado-a-la-entrada-del-congreso:-convoca-elecciones.html" TargetMode="External"/><Relationship Id="rId189" Type="http://schemas.openxmlformats.org/officeDocument/2006/relationships/hyperlink" Target="https://www.elconfidencial.com/espana/2018-12-08/pedro-sanchez-lisboa-congreso-pes-antonio-costa-hacer-mucho-mas-ultraderecha_1693226/?utm_source=facebook&amp;utm_medium=social&amp;utm_campaign=ECFindeAutomatico" TargetMode="External"/><Relationship Id="rId396" Type="http://schemas.openxmlformats.org/officeDocument/2006/relationships/hyperlink" Target="https://www.facebook.com/angelir.irunc.3" TargetMode="External"/><Relationship Id="rId2077" Type="http://schemas.openxmlformats.org/officeDocument/2006/relationships/hyperlink" Target="https://pbs.twimg.com/media/Dty2Yf8WoAYCs6C.jpg" TargetMode="External"/><Relationship Id="rId2284" Type="http://schemas.openxmlformats.org/officeDocument/2006/relationships/hyperlink" Target="https://pbs.twimg.com/media/DtwD3bhX4AA_qWG.jpg" TargetMode="External"/><Relationship Id="rId2491" Type="http://schemas.openxmlformats.org/officeDocument/2006/relationships/hyperlink" Target="http://www.roblespadial.com/" TargetMode="External"/><Relationship Id="rId3128" Type="http://schemas.openxmlformats.org/officeDocument/2006/relationships/hyperlink" Target="http://foros.foxinver.com/" TargetMode="External"/><Relationship Id="rId3335" Type="http://schemas.openxmlformats.org/officeDocument/2006/relationships/hyperlink" Target="http://www.lextres.com/" TargetMode="External"/><Relationship Id="rId256" Type="http://schemas.openxmlformats.org/officeDocument/2006/relationships/hyperlink" Target="http://pic.twitter.com/FCFmDK2ovf" TargetMode="External"/><Relationship Id="rId463" Type="http://schemas.openxmlformats.org/officeDocument/2006/relationships/hyperlink" Target="http://pic.twitter.com/G3A9Dj7Idz" TargetMode="External"/><Relationship Id="rId670" Type="http://schemas.openxmlformats.org/officeDocument/2006/relationships/hyperlink" Target="http://www.ilustrados.es/" TargetMode="External"/><Relationship Id="rId1093" Type="http://schemas.openxmlformats.org/officeDocument/2006/relationships/hyperlink" Target="http://www.radiohuancavilca.com.ec/" TargetMode="External"/><Relationship Id="rId2144" Type="http://schemas.openxmlformats.org/officeDocument/2006/relationships/hyperlink" Target="https://pbs.twimg.com/media/DtyXGtdX4AAMJwU.jpg" TargetMode="External"/><Relationship Id="rId2351" Type="http://schemas.openxmlformats.org/officeDocument/2006/relationships/hyperlink" Target="https://www.libertaddigital.com/espana/2018-12-06/pedro-sanchez-desconoce-la-constitucion-pide-reformarla-para-incluir-la-igualdad-entre-hombres-y-mujeres-1276629507/" TargetMode="External"/><Relationship Id="rId2589" Type="http://schemas.openxmlformats.org/officeDocument/2006/relationships/hyperlink" Target="https://www.abc.es/espana/abci-pedro-sanchez-llega-entre-abucheos-congreso-40-aniversario-constitucion-201812061227_noticia.html" TargetMode="External"/><Relationship Id="rId2796" Type="http://schemas.openxmlformats.org/officeDocument/2006/relationships/hyperlink" Target="https://www.libertaddigital.com/espana/2018-12-06/pedro-sanchez-descarta-elecciones-en-marzo-pero-abre-la-puerta-a-mayo-1276629489/" TargetMode="External"/><Relationship Id="rId3402" Type="http://schemas.openxmlformats.org/officeDocument/2006/relationships/hyperlink" Target="http://elperiodi.co/bnace1" TargetMode="External"/><Relationship Id="rId116" Type="http://schemas.openxmlformats.org/officeDocument/2006/relationships/hyperlink" Target="http://foros.foxinver.com/" TargetMode="External"/><Relationship Id="rId323" Type="http://schemas.openxmlformats.org/officeDocument/2006/relationships/hyperlink" Target="http://www.josesimongracia.es/" TargetMode="External"/><Relationship Id="rId530" Type="http://schemas.openxmlformats.org/officeDocument/2006/relationships/hyperlink" Target="https://m.eldiario.es/politica/Pedro-Sanchez-Casado-Rivera-electoral_0_843416123.html" TargetMode="External"/><Relationship Id="rId768" Type="http://schemas.openxmlformats.org/officeDocument/2006/relationships/hyperlink" Target="http://dlvr.it/Qt5cr0" TargetMode="External"/><Relationship Id="rId975" Type="http://schemas.openxmlformats.org/officeDocument/2006/relationships/hyperlink" Target="https://twitter.com/cai_nyabel/status/1070047800359088128" TargetMode="External"/><Relationship Id="rId1160" Type="http://schemas.openxmlformats.org/officeDocument/2006/relationships/hyperlink" Target="https://okdiario.com/espana/2018/12/07/pedro-sanchez-reformar-constitucion-incluir-igualdad-hombres-mujeres-articulo-14-desde-hace-40-anos-3437620" TargetMode="External"/><Relationship Id="rId1398" Type="http://schemas.openxmlformats.org/officeDocument/2006/relationships/hyperlink" Target="http://www.ondacero.es/" TargetMode="External"/><Relationship Id="rId2004" Type="http://schemas.openxmlformats.org/officeDocument/2006/relationships/hyperlink" Target="https://www.eldiario.es/politica/Pedro-Sanchez-Casado-Rivera-electoral_0_843416123.html" TargetMode="External"/><Relationship Id="rId2211" Type="http://schemas.openxmlformats.org/officeDocument/2006/relationships/hyperlink" Target="https://pbs.twimg.com/media/DtxidVlWoAI6f3D.jpg" TargetMode="External"/><Relationship Id="rId2449" Type="http://schemas.openxmlformats.org/officeDocument/2006/relationships/hyperlink" Target="https://nuevocurso.org/" TargetMode="External"/><Relationship Id="rId2656" Type="http://schemas.openxmlformats.org/officeDocument/2006/relationships/hyperlink" Target="https://www.libertaddigital.com/espana/2018-12-06/pedro-sanchez-desconoce-la-constitucion-pide-reformarla-para-incluir-la-igualdad-entre-hombres-y-mujeres-1276629507/" TargetMode="External"/><Relationship Id="rId2863" Type="http://schemas.openxmlformats.org/officeDocument/2006/relationships/hyperlink" Target="http://ow.ly/KwKL30mTd54" TargetMode="External"/><Relationship Id="rId628" Type="http://schemas.openxmlformats.org/officeDocument/2006/relationships/hyperlink" Target="http://infobae.com/" TargetMode="External"/><Relationship Id="rId835" Type="http://schemas.openxmlformats.org/officeDocument/2006/relationships/hyperlink" Target="https://okdiario.com/espana/2018/12/07/han-pasado-85-dias-demanda-pedro-sanchez-sigue-sin-llegar-3437752" TargetMode="External"/><Relationship Id="rId1258" Type="http://schemas.openxmlformats.org/officeDocument/2006/relationships/hyperlink" Target="http://www.congreso.es/" TargetMode="External"/><Relationship Id="rId1465" Type="http://schemas.openxmlformats.org/officeDocument/2006/relationships/hyperlink" Target="http://www.tycsports.com/" TargetMode="External"/><Relationship Id="rId1672" Type="http://schemas.openxmlformats.org/officeDocument/2006/relationships/hyperlink" Target="http://infolinares.com/" TargetMode="External"/><Relationship Id="rId2309" Type="http://schemas.openxmlformats.org/officeDocument/2006/relationships/hyperlink" Target="https://www.libertaddigital.com/espana/2018-12-06/pedro-sanchez-desconoce-la-constitucion-pide-reformarla-para-incluir-la-igualdad-entre-hombres-y-mujeres-1276629507/amp.html?__twitter_impression=true" TargetMode="External"/><Relationship Id="rId2516" Type="http://schemas.openxmlformats.org/officeDocument/2006/relationships/hyperlink" Target="https://pbs.twimg.com/media/Dtws0ytXgAAWtNM.jpg" TargetMode="External"/><Relationship Id="rId2723" Type="http://schemas.openxmlformats.org/officeDocument/2006/relationships/hyperlink" Target="https://www.eldiario.es/politica/Pedro-Sanchez-reforma-Constitucion-igualdad_0_843416144.html" TargetMode="External"/><Relationship Id="rId1020" Type="http://schemas.openxmlformats.org/officeDocument/2006/relationships/hyperlink" Target="https://mact.es/2roPDtI" TargetMode="External"/><Relationship Id="rId1118" Type="http://schemas.openxmlformats.org/officeDocument/2006/relationships/hyperlink" Target="https://twitter.com/anoxiaplus/status/1070829564228714496" TargetMode="External"/><Relationship Id="rId1325" Type="http://schemas.openxmlformats.org/officeDocument/2006/relationships/hyperlink" Target="https://www.abc.es/deportes/futbol/abci-pedro-sanchez-asistira-final-bernabeu-201812071351_noticia.html" TargetMode="External"/><Relationship Id="rId1532" Type="http://schemas.openxmlformats.org/officeDocument/2006/relationships/hyperlink" Target="http://marina-carrasco.com/" TargetMode="External"/><Relationship Id="rId1977" Type="http://schemas.openxmlformats.org/officeDocument/2006/relationships/hyperlink" Target="https://lapaseata.net/" TargetMode="External"/><Relationship Id="rId2930" Type="http://schemas.openxmlformats.org/officeDocument/2006/relationships/hyperlink" Target="http://www.dailymotion.com/video/x6yhf6n" TargetMode="External"/><Relationship Id="rId902" Type="http://schemas.openxmlformats.org/officeDocument/2006/relationships/hyperlink" Target="https://twitter.com/niblick62/status/1070920647151362048" TargetMode="External"/><Relationship Id="rId1837" Type="http://schemas.openxmlformats.org/officeDocument/2006/relationships/hyperlink" Target="http://www.basketamericano.com/" TargetMode="External"/><Relationship Id="rId3192" Type="http://schemas.openxmlformats.org/officeDocument/2006/relationships/hyperlink" Target="http://eldiario.es/" TargetMode="External"/><Relationship Id="rId31" Type="http://schemas.openxmlformats.org/officeDocument/2006/relationships/hyperlink" Target="http://www.salvadorescalona.es/" TargetMode="External"/><Relationship Id="rId2099" Type="http://schemas.openxmlformats.org/officeDocument/2006/relationships/hyperlink" Target="https://pbs.twimg.com/media/DtyzQXcV4AEN5Y6.jpg" TargetMode="External"/><Relationship Id="rId3052" Type="http://schemas.openxmlformats.org/officeDocument/2006/relationships/hyperlink" Target="http://www.pedrocastro.es/" TargetMode="External"/><Relationship Id="rId180" Type="http://schemas.openxmlformats.org/officeDocument/2006/relationships/hyperlink" Target="http://dlvr.it/Qt7y00" TargetMode="External"/><Relationship Id="rId278" Type="http://schemas.openxmlformats.org/officeDocument/2006/relationships/hyperlink" Target="http://ow.ly/K5B850jTnro" TargetMode="External"/><Relationship Id="rId1904" Type="http://schemas.openxmlformats.org/officeDocument/2006/relationships/hyperlink" Target="http://www.libremercado.com/" TargetMode="External"/><Relationship Id="rId3357" Type="http://schemas.openxmlformats.org/officeDocument/2006/relationships/hyperlink" Target="https://pbs.twimg.com/media/DtvFdywW4AA_zAR.jpg" TargetMode="External"/><Relationship Id="rId485" Type="http://schemas.openxmlformats.org/officeDocument/2006/relationships/hyperlink" Target="https://okdiario.com/economia/2018/12/08/italia-credibilidad-presupuestos-pedro-sanchez-denunciar-ue-trato-discriminatorio-3437675" TargetMode="External"/><Relationship Id="rId692" Type="http://schemas.openxmlformats.org/officeDocument/2006/relationships/hyperlink" Target="https://binged.it/2E835d0" TargetMode="External"/><Relationship Id="rId2166" Type="http://schemas.openxmlformats.org/officeDocument/2006/relationships/hyperlink" Target="http://www.canal95.cl/" TargetMode="External"/><Relationship Id="rId2373" Type="http://schemas.openxmlformats.org/officeDocument/2006/relationships/hyperlink" Target="https://www.esdiario.com/238196932/El-verdadero-CIS-de-Pedro-Sanchez-otro-espectacular-abucheo-en-el-Congreso.html" TargetMode="External"/><Relationship Id="rId2580" Type="http://schemas.openxmlformats.org/officeDocument/2006/relationships/hyperlink" Target="http://dlvr.it/Qt0nd8" TargetMode="External"/><Relationship Id="rId3217" Type="http://schemas.openxmlformats.org/officeDocument/2006/relationships/hyperlink" Target="https://www.elconfidencial.com/espana/2018-12-06/pedro-sanchez-constitucion-pitos-abucheos-afinsa-forum-filatelico_1690530/?utm_source=twitter&amp;utm_medium=social&amp;utm_campaign=ECDiarioManual" TargetMode="External"/><Relationship Id="rId3424" Type="http://schemas.openxmlformats.org/officeDocument/2006/relationships/hyperlink" Target="https://pbs.twimg.com/media/Dtu8scfWwAA-EnT.jpg" TargetMode="External"/><Relationship Id="rId138" Type="http://schemas.openxmlformats.org/officeDocument/2006/relationships/hyperlink" Target="https://twitter.com/Mertxeramos" TargetMode="External"/><Relationship Id="rId345" Type="http://schemas.openxmlformats.org/officeDocument/2006/relationships/hyperlink" Target="http://dlvr.it/Qt7W8z" TargetMode="External"/><Relationship Id="rId552" Type="http://schemas.openxmlformats.org/officeDocument/2006/relationships/hyperlink" Target="http://atres.red/f0lew3" TargetMode="External"/><Relationship Id="rId997" Type="http://schemas.openxmlformats.org/officeDocument/2006/relationships/hyperlink" Target="https://ift.tt/2EjPqRe" TargetMode="External"/><Relationship Id="rId1182" Type="http://schemas.openxmlformats.org/officeDocument/2006/relationships/hyperlink" Target="https://www.lavanguardia.com/politica/20181207/453408668752/boca-juniors-river-plate-final-copa-libertadores-pedro-sanchez.html?utm_source=twitter_lv&amp;utm_medium=social" TargetMode="External"/><Relationship Id="rId2026" Type="http://schemas.openxmlformats.org/officeDocument/2006/relationships/hyperlink" Target="http://rtve.es/a/4877638" TargetMode="External"/><Relationship Id="rId2233" Type="http://schemas.openxmlformats.org/officeDocument/2006/relationships/hyperlink" Target="https://www.esdiario.com/238196932/El-verdadero-CIS-de-Pedro-Sanchez-otro-espectacular-abucheo-en-el-Congreso.html" TargetMode="External"/><Relationship Id="rId2440" Type="http://schemas.openxmlformats.org/officeDocument/2006/relationships/hyperlink" Target="http://bechyapfgmail.com/" TargetMode="External"/><Relationship Id="rId2678" Type="http://schemas.openxmlformats.org/officeDocument/2006/relationships/hyperlink" Target="https://pbs.twimg.com/media/DtwZHzMWsAAh18L.jpg" TargetMode="External"/><Relationship Id="rId2885" Type="http://schemas.openxmlformats.org/officeDocument/2006/relationships/hyperlink" Target="https://www.esdiario.com/191747808/El-coste-del-paseo-de-Falconetti-hasta-Valladolid-tambien-es-secreto-de-Estado.html" TargetMode="External"/><Relationship Id="rId205" Type="http://schemas.openxmlformats.org/officeDocument/2006/relationships/hyperlink" Target="https://pbs.twimg.com/media/Dt5l4JBWwAEsnAg.jpg" TargetMode="External"/><Relationship Id="rId412" Type="http://schemas.openxmlformats.org/officeDocument/2006/relationships/hyperlink" Target="https://www.libremercado.com/2018-12-07/el-populismo-de-pedro-sanchez-se-extiende-al-sector-energetico-1276629287/" TargetMode="External"/><Relationship Id="rId857" Type="http://schemas.openxmlformats.org/officeDocument/2006/relationships/hyperlink" Target="http://pic.twitter.com/NSWiz0jV9z" TargetMode="External"/><Relationship Id="rId1042" Type="http://schemas.openxmlformats.org/officeDocument/2006/relationships/hyperlink" Target="https://ift.tt/2Qi4O6U" TargetMode="External"/><Relationship Id="rId1487" Type="http://schemas.openxmlformats.org/officeDocument/2006/relationships/hyperlink" Target="http://www.facebook.com/richiegz" TargetMode="External"/><Relationship Id="rId1694" Type="http://schemas.openxmlformats.org/officeDocument/2006/relationships/hyperlink" Target="https://pbs.twimg.com/media/DtzaiZUXcAAFPZl.jpg" TargetMode="External"/><Relationship Id="rId2300" Type="http://schemas.openxmlformats.org/officeDocument/2006/relationships/hyperlink" Target="https://www.libertaddigital.com/espana/2018-12-06/pedro-sanchez-desconoce-la-constitucion-pide-reformarla-para-incluir-la-igualdad-entre-hombres-y-mujeres-1276629507/" TargetMode="External"/><Relationship Id="rId2538" Type="http://schemas.openxmlformats.org/officeDocument/2006/relationships/hyperlink" Target="https://www.20minutos.es/noticia/3510387/0/abucheos-pedro-sanchez-congreso-aniversario-constitucion/?utm_source=twitter.com&amp;utm_medium=socialshare&amp;utm_campaign=mobile_amp" TargetMode="External"/><Relationship Id="rId2745" Type="http://schemas.openxmlformats.org/officeDocument/2006/relationships/hyperlink" Target="https://m.eldiario.es/_32458250" TargetMode="External"/><Relationship Id="rId2952" Type="http://schemas.openxmlformats.org/officeDocument/2006/relationships/hyperlink" Target="http://www.telemadrid.es/ondamadrid" TargetMode="External"/><Relationship Id="rId717" Type="http://schemas.openxmlformats.org/officeDocument/2006/relationships/hyperlink" Target="http://empatemos.mforos.com/" TargetMode="External"/><Relationship Id="rId924" Type="http://schemas.openxmlformats.org/officeDocument/2006/relationships/hyperlink" Target="https://www.elperiodico.com/es/politica/20181207/entrevista-jessica-albiach-si-pedro-sanchez-no-escucha-catalunya-acabara-como-susana-diaz-7188106?utm_source=twitter&amp;utm_medium=social" TargetMode="External"/><Relationship Id="rId1347" Type="http://schemas.openxmlformats.org/officeDocument/2006/relationships/hyperlink" Target="https://nuevarevolucion.es/pedro-sanchez-el-paso-atras-de-la-izquierda/" TargetMode="External"/><Relationship Id="rId1554" Type="http://schemas.openxmlformats.org/officeDocument/2006/relationships/hyperlink" Target="https://www.nuevatribuna.es/opinion/victor-arrogante/tratado-de-utrecht-dos/20181202183720158032.html" TargetMode="External"/><Relationship Id="rId1761" Type="http://schemas.openxmlformats.org/officeDocument/2006/relationships/hyperlink" Target="https://pbs.twimg.com/media/DtzlMizW4AAe40w.jpg" TargetMode="External"/><Relationship Id="rId1999" Type="http://schemas.openxmlformats.org/officeDocument/2006/relationships/hyperlink" Target="https://pbs.twimg.com/media/DtzCXvfU8AAA-co.jpg" TargetMode="External"/><Relationship Id="rId2605" Type="http://schemas.openxmlformats.org/officeDocument/2006/relationships/hyperlink" Target="http://facebook.com/f.diazfran" TargetMode="External"/><Relationship Id="rId2812" Type="http://schemas.openxmlformats.org/officeDocument/2006/relationships/hyperlink" Target="https://goo.gl/FXmHKc" TargetMode="External"/><Relationship Id="rId53" Type="http://schemas.openxmlformats.org/officeDocument/2006/relationships/hyperlink" Target="https://twitter.com/Javierfoco/status/1071432483554713600" TargetMode="External"/><Relationship Id="rId1207" Type="http://schemas.openxmlformats.org/officeDocument/2006/relationships/hyperlink" Target="https://www.lavanguardia.com/politica/20181207/453408668752/boca-juniors-river-plate-final-copa-libertadores-pedro-sanchez.html?utm_source=twitter_lv&amp;utm_medium=social" TargetMode="External"/><Relationship Id="rId1414" Type="http://schemas.openxmlformats.org/officeDocument/2006/relationships/hyperlink" Target="https://noticiasdedeportes595817580.wordpress.com/2018/12/07/pedro-sanchez-asistira-a-la-final-en-el-bernabeu/" TargetMode="External"/><Relationship Id="rId1621" Type="http://schemas.openxmlformats.org/officeDocument/2006/relationships/hyperlink" Target="http://videos.elmundo.es/v/0_lwslz5du-abucheos-a-pedro-sanchez" TargetMode="External"/><Relationship Id="rId1859" Type="http://schemas.openxmlformats.org/officeDocument/2006/relationships/hyperlink" Target="https://almudenanegro.wordpress.com/" TargetMode="External"/><Relationship Id="rId3074" Type="http://schemas.openxmlformats.org/officeDocument/2006/relationships/hyperlink" Target="http://www.pedrocastro.es/" TargetMode="External"/><Relationship Id="rId1719" Type="http://schemas.openxmlformats.org/officeDocument/2006/relationships/hyperlink" Target="http://videos.elmundo.es/v/0_lwslz5du-abucheos-a-pedro-sanchez" TargetMode="External"/><Relationship Id="rId1926" Type="http://schemas.openxmlformats.org/officeDocument/2006/relationships/hyperlink" Target="http://www.noticiasdenavarra.com/" TargetMode="External"/><Relationship Id="rId3281" Type="http://schemas.openxmlformats.org/officeDocument/2006/relationships/hyperlink" Target="http://bit.ly/2QfYE7l" TargetMode="External"/><Relationship Id="rId3379" Type="http://schemas.openxmlformats.org/officeDocument/2006/relationships/hyperlink" Target="https://www.facebook.com/1096365597/posts/10216191305910800/" TargetMode="External"/><Relationship Id="rId2090" Type="http://schemas.openxmlformats.org/officeDocument/2006/relationships/hyperlink" Target="http://facebook.com/Alviseperez" TargetMode="External"/><Relationship Id="rId2188" Type="http://schemas.openxmlformats.org/officeDocument/2006/relationships/hyperlink" Target="https://bit.ly/2Sx3CJn" TargetMode="External"/><Relationship Id="rId2395" Type="http://schemas.openxmlformats.org/officeDocument/2006/relationships/hyperlink" Target="https://www.20minutos.es/" TargetMode="External"/><Relationship Id="rId3141" Type="http://schemas.openxmlformats.org/officeDocument/2006/relationships/hyperlink" Target="http://www.ideal.es/almeria" TargetMode="External"/><Relationship Id="rId3239" Type="http://schemas.openxmlformats.org/officeDocument/2006/relationships/hyperlink" Target="https://www.diariosur.es/40-aniversario-constitucion/pedro-sanchez-lleva-20181206123919-ntrc.html" TargetMode="External"/><Relationship Id="rId367" Type="http://schemas.openxmlformats.org/officeDocument/2006/relationships/hyperlink" Target="https://goo.gl/fb/EBR3DZ" TargetMode="External"/><Relationship Id="rId574" Type="http://schemas.openxmlformats.org/officeDocument/2006/relationships/hyperlink" Target="http://okdiario.com/economia/2018/12/08/italia-credibilidad-presupuestos-pedro-sanchez-denunciar-ue-trato-discriminatorio-3437675" TargetMode="External"/><Relationship Id="rId2048" Type="http://schemas.openxmlformats.org/officeDocument/2006/relationships/hyperlink" Target="https://pbs.twimg.com/media/Dty61uGXgAAbTZq.jpg" TargetMode="External"/><Relationship Id="rId2255" Type="http://schemas.openxmlformats.org/officeDocument/2006/relationships/hyperlink" Target="https://www.elmundo.es/espana/2016/09/27/57eab819268e3eb25b8b45e0.html" TargetMode="External"/><Relationship Id="rId3001" Type="http://schemas.openxmlformats.org/officeDocument/2006/relationships/hyperlink" Target="https://www.elconfidencial.com/espana/2018-12-06/pedro-sanchez-constitucion-pitos-abucheos-afinsa-forum-filatelico_1690530/?utm_source=twitter&amp;utm_medium=social&amp;utm_campaign=BotoneraWeb" TargetMode="External"/><Relationship Id="rId227" Type="http://schemas.openxmlformats.org/officeDocument/2006/relationships/hyperlink" Target="https://pbs.twimg.com/media/Dt5kD9aXcAUBhwH.jpg" TargetMode="External"/><Relationship Id="rId781" Type="http://schemas.openxmlformats.org/officeDocument/2006/relationships/hyperlink" Target="https://twitter.com/Proserpinasb/status/1071051572422025216" TargetMode="External"/><Relationship Id="rId879" Type="http://schemas.openxmlformats.org/officeDocument/2006/relationships/hyperlink" Target="https://pbs.twimg.com/media/Dt1qJ5IXQAA_c9G.jpg" TargetMode="External"/><Relationship Id="rId2462" Type="http://schemas.openxmlformats.org/officeDocument/2006/relationships/hyperlink" Target="http://epmundo.com/2018/descontentos-asi-recibieron-a-pedro-sanchez-en-el-congreso-video/?utm_source=twitter&amp;utm_medium=social&amp;utm_campaign=ReviveOldPost" TargetMode="External"/><Relationship Id="rId2767" Type="http://schemas.openxmlformats.org/officeDocument/2006/relationships/hyperlink" Target="http://dlvr.it/QsymfF" TargetMode="External"/><Relationship Id="rId3306" Type="http://schemas.openxmlformats.org/officeDocument/2006/relationships/hyperlink" Target="https://www.libertaddigital.com/espana/politica/2018-12-06/abuheo-general-a-pedro-sanchez-convoca-elecciones-1276629479/" TargetMode="External"/><Relationship Id="rId434" Type="http://schemas.openxmlformats.org/officeDocument/2006/relationships/hyperlink" Target="https://okdiario.com/economia/2018/12/08/italia-credibilidad-presupuestos-pedro-sanchez-denunciar-ue-trato-discriminatorio-3437675?utm_campaign=ok&amp;utm_medium=Social&amp;utm_source=Twitter" TargetMode="External"/><Relationship Id="rId641" Type="http://schemas.openxmlformats.org/officeDocument/2006/relationships/hyperlink" Target="https://pbs.twimg.com/media/Dt0dqt2W0AAeg8s.jpg" TargetMode="External"/><Relationship Id="rId739" Type="http://schemas.openxmlformats.org/officeDocument/2006/relationships/hyperlink" Target="http://bit.ly/EP_Venezuela" TargetMode="External"/><Relationship Id="rId1064" Type="http://schemas.openxmlformats.org/officeDocument/2006/relationships/hyperlink" Target="http://www.newtral.es/" TargetMode="External"/><Relationship Id="rId1271" Type="http://schemas.openxmlformats.org/officeDocument/2006/relationships/hyperlink" Target="http://www.travel-leon.net/" TargetMode="External"/><Relationship Id="rId1369" Type="http://schemas.openxmlformats.org/officeDocument/2006/relationships/hyperlink" Target="http://www.nuevospapeles.com/" TargetMode="External"/><Relationship Id="rId1576" Type="http://schemas.openxmlformats.org/officeDocument/2006/relationships/hyperlink" Target="http://www.infoheaders.com/" TargetMode="External"/><Relationship Id="rId2115" Type="http://schemas.openxmlformats.org/officeDocument/2006/relationships/hyperlink" Target="https://pbs.twimg.com/media/DtytjPcWwAEQ86G.jpg" TargetMode="External"/><Relationship Id="rId2322" Type="http://schemas.openxmlformats.org/officeDocument/2006/relationships/hyperlink" Target="http://atres.red/c4av82" TargetMode="External"/><Relationship Id="rId2974" Type="http://schemas.openxmlformats.org/officeDocument/2006/relationships/hyperlink" Target="http://paper.li/lobo_solito/1343408781" TargetMode="External"/><Relationship Id="rId501" Type="http://schemas.openxmlformats.org/officeDocument/2006/relationships/hyperlink" Target="https://okdiario-com.cdn.ampproject.org/v/s/okdiario.com/economia/2018/12/08/italia-credibilidad-presupuestos-pedro-sanchez-denunciar-ue-trato-discriminatorio-3437675/amp?amp_js_v=a2&amp;amp_gsa=1&amp;usqp=mq331AQHCAFYAYABAQ%3D%3D" TargetMode="External"/><Relationship Id="rId946" Type="http://schemas.openxmlformats.org/officeDocument/2006/relationships/hyperlink" Target="https://www.20minutos.es/noticia/3511142/0/pedro-sanchez-asistira-final-libertadores-bernabeu?utm_source=twitter.com&amp;utm_medium=socialshare&amp;utm_campaign=mobile_app" TargetMode="External"/><Relationship Id="rId1131" Type="http://schemas.openxmlformats.org/officeDocument/2006/relationships/hyperlink" Target="http://oasisenlahecatombe.com/" TargetMode="External"/><Relationship Id="rId1229" Type="http://schemas.openxmlformats.org/officeDocument/2006/relationships/hyperlink" Target="https://okdiario.com/espana/2018/12/07/pedro-sanchez-reformar-constitucion-incluir-igualdad-hombres-mujeres-articulo-14-desde-hace-40-anos-3437620" TargetMode="External"/><Relationship Id="rId1783" Type="http://schemas.openxmlformats.org/officeDocument/2006/relationships/hyperlink" Target="https://okdiario.com/espana/2018/12/07/pedro-sanchez-reformar-constitucion-incluir-igualdad-hombres-mujeres-articulo-14-desde-hace-40-anos-3437620" TargetMode="External"/><Relationship Id="rId1990" Type="http://schemas.openxmlformats.org/officeDocument/2006/relationships/hyperlink" Target="https://m.eldiario.es/3245823b_843416123/" TargetMode="External"/><Relationship Id="rId2627" Type="http://schemas.openxmlformats.org/officeDocument/2006/relationships/hyperlink" Target="https://twitter.com/Escribano_R/status/1070649446927663104" TargetMode="External"/><Relationship Id="rId2834" Type="http://schemas.openxmlformats.org/officeDocument/2006/relationships/hyperlink" Target="https://okdiario.com/espana/2018/12/06/pedro-sanchez-no-forzara-relevo-susana-diaz-dejara-psoe-andaluz-fulmine-3434507" TargetMode="External"/><Relationship Id="rId75" Type="http://schemas.openxmlformats.org/officeDocument/2006/relationships/hyperlink" Target="http://www.carm.es/" TargetMode="External"/><Relationship Id="rId806" Type="http://schemas.openxmlformats.org/officeDocument/2006/relationships/hyperlink" Target="https://twitter.com/rosadiezglez/status/1071051624091656192?s=04" TargetMode="External"/><Relationship Id="rId1436" Type="http://schemas.openxmlformats.org/officeDocument/2006/relationships/hyperlink" Target="https://www.latostadora.com/elninjadelasgalletas/" TargetMode="External"/><Relationship Id="rId1643" Type="http://schemas.openxmlformats.org/officeDocument/2006/relationships/hyperlink" Target="https://www.publico.es/politica/detenido-ultra-matanza-abogados-atocha-pedro-sanchez.html" TargetMode="External"/><Relationship Id="rId1850" Type="http://schemas.openxmlformats.org/officeDocument/2006/relationships/hyperlink" Target="http://www.citizengo.org/hazteoir/166670-no-expolie-por-segunda-vez-archivo-salamanca?tc=tw&amp;tcid=52564885" TargetMode="External"/><Relationship Id="rId2901" Type="http://schemas.openxmlformats.org/officeDocument/2006/relationships/hyperlink" Target="http://videos.elmundo.es/v/0_lwslz5du-abucheos-a-pedro-sanchez" TargetMode="External"/><Relationship Id="rId3096" Type="http://schemas.openxmlformats.org/officeDocument/2006/relationships/hyperlink" Target="https://amp.20minutos.es/noticia/3510387/0/abucheos-pedro-sanchez-congreso-aniversario-constitucion/" TargetMode="External"/><Relationship Id="rId1503" Type="http://schemas.openxmlformats.org/officeDocument/2006/relationships/hyperlink" Target="https://www.libremercado.com/2018-12-07/el-populismo-de-pedro-sanchez-se-extiende-al-sector-energetico-1276629287/" TargetMode="External"/><Relationship Id="rId1710" Type="http://schemas.openxmlformats.org/officeDocument/2006/relationships/hyperlink" Target="https://twitter.com/josepborrellf/status/1069975739410337792" TargetMode="External"/><Relationship Id="rId1948" Type="http://schemas.openxmlformats.org/officeDocument/2006/relationships/hyperlink" Target="http://epmundo.com/2018/descontentos-asi-recibieron-a-pedro-sanchez-en-el-congreso-video/?utm_source=twitter&amp;utm_medium=social&amp;utm_campaign=ReviveOldPost" TargetMode="External"/><Relationship Id="rId3163" Type="http://schemas.openxmlformats.org/officeDocument/2006/relationships/hyperlink" Target="http://veoinfo.com/" TargetMode="External"/><Relationship Id="rId3370" Type="http://schemas.openxmlformats.org/officeDocument/2006/relationships/hyperlink" Target="https://www.20minutos.es/noticia/3510387/0/abucheos-pedro-sanchez-congreso-aniversario-constitucion/?utm_source=twitter.com&amp;utm_medium=socialshare&amp;utm_campaign=mobile_web" TargetMode="External"/><Relationship Id="rId291" Type="http://schemas.openxmlformats.org/officeDocument/2006/relationships/hyperlink" Target="http://www.newtral.es/" TargetMode="External"/><Relationship Id="rId1808" Type="http://schemas.openxmlformats.org/officeDocument/2006/relationships/hyperlink" Target="https://www.esdiario.com/238196932/El-verdadero-CIS-de-Pedro-Sanchez-otro-espectacular-abucheo-en-el-Congreso.html" TargetMode="External"/><Relationship Id="rId3023" Type="http://schemas.openxmlformats.org/officeDocument/2006/relationships/hyperlink" Target="http://madridistareal.com/" TargetMode="External"/><Relationship Id="rId151" Type="http://schemas.openxmlformats.org/officeDocument/2006/relationships/hyperlink" Target="https://okdiario.com/espana/cataluna/2018/12/08/sanchez-ofrece-separatistas-reconocer-cataluna-como-nacion-cambio-del-si-presupuestos-3439890/amp" TargetMode="External"/><Relationship Id="rId389" Type="http://schemas.openxmlformats.org/officeDocument/2006/relationships/hyperlink" Target="http://www.telemadrid.es/120minutos" TargetMode="External"/><Relationship Id="rId596" Type="http://schemas.openxmlformats.org/officeDocument/2006/relationships/hyperlink" Target="http://mediterraneo.diario16.com/gobierno-pedro-sanchez-iu-militares-profranquistas/" TargetMode="External"/><Relationship Id="rId2277" Type="http://schemas.openxmlformats.org/officeDocument/2006/relationships/hyperlink" Target="http://atres.red/ktjbw3" TargetMode="External"/><Relationship Id="rId2484" Type="http://schemas.openxmlformats.org/officeDocument/2006/relationships/hyperlink" Target="https://www.eldiario.es/politica/Pedro-Sanchez-reforma-Constitucion-igualdad_0_843416144.html" TargetMode="External"/><Relationship Id="rId2691" Type="http://schemas.openxmlformats.org/officeDocument/2006/relationships/hyperlink" Target="https://www.lavanguardia.com/politica/20181206/453397537702/pedro-sanchez-elecciones-reunion-quim-torra-21-de-diciembre.html" TargetMode="External"/><Relationship Id="rId3230" Type="http://schemas.openxmlformats.org/officeDocument/2006/relationships/hyperlink" Target="http://ondace.ro/1ctc61" TargetMode="External"/><Relationship Id="rId3328" Type="http://schemas.openxmlformats.org/officeDocument/2006/relationships/hyperlink" Target="https://pbs.twimg.com/media/DtvIC_UWoAAhwSV.jpg" TargetMode="External"/><Relationship Id="rId249" Type="http://schemas.openxmlformats.org/officeDocument/2006/relationships/hyperlink" Target="https://pbs.twimg.com/media/Dt5gNEGX4AA6LZN.jpg" TargetMode="External"/><Relationship Id="rId456" Type="http://schemas.openxmlformats.org/officeDocument/2006/relationships/hyperlink" Target="http://bit.ly/EP_Venezuela" TargetMode="External"/><Relationship Id="rId663" Type="http://schemas.openxmlformats.org/officeDocument/2006/relationships/hyperlink" Target="https://goo.gl/mNeRTp?jxx77=5254308512" TargetMode="External"/><Relationship Id="rId870" Type="http://schemas.openxmlformats.org/officeDocument/2006/relationships/hyperlink" Target="https://twitter.com/OrbitaEduardo/status/1071126836032225280" TargetMode="External"/><Relationship Id="rId1086" Type="http://schemas.openxmlformats.org/officeDocument/2006/relationships/hyperlink" Target="http://videos.elmundo.es/v/0_lwslz5du-abucheos-a-pedro-sanchez" TargetMode="External"/><Relationship Id="rId1293" Type="http://schemas.openxmlformats.org/officeDocument/2006/relationships/hyperlink" Target="https://twitter.com/ppopular/status/1071025792270786563" TargetMode="External"/><Relationship Id="rId2137" Type="http://schemas.openxmlformats.org/officeDocument/2006/relationships/hyperlink" Target="https://elpais.com/politica/2018/12/06/actualidad/1544111232_167769.html?id_externo_rsoc=TW_CC" TargetMode="External"/><Relationship Id="rId2344" Type="http://schemas.openxmlformats.org/officeDocument/2006/relationships/hyperlink" Target="https://m.eldiario.es/_32458250" TargetMode="External"/><Relationship Id="rId2551" Type="http://schemas.openxmlformats.org/officeDocument/2006/relationships/hyperlink" Target="https://pbs.twimg.com/media/Dtwm80-WsAE24er.jpg" TargetMode="External"/><Relationship Id="rId2789" Type="http://schemas.openxmlformats.org/officeDocument/2006/relationships/hyperlink" Target="https://www.elconfidencial.com/espana/2018-12-06/pedro-sanchez-adelanto-electoral-marzo-seguiremos-trabajando-gobernando_1690978/" TargetMode="External"/><Relationship Id="rId2996" Type="http://schemas.openxmlformats.org/officeDocument/2006/relationships/hyperlink" Target="http://www.sevilla24horas.com/" TargetMode="External"/><Relationship Id="rId109" Type="http://schemas.openxmlformats.org/officeDocument/2006/relationships/hyperlink" Target="http://pic.twitter.com/9qNArqWpqH" TargetMode="External"/><Relationship Id="rId316" Type="http://schemas.openxmlformats.org/officeDocument/2006/relationships/hyperlink" Target="https://pbs.twimg.com/media/Dt4l340WoAE0jgN.jpg" TargetMode="External"/><Relationship Id="rId523" Type="http://schemas.openxmlformats.org/officeDocument/2006/relationships/hyperlink" Target="http://www.telemadrid.es/120minutos" TargetMode="External"/><Relationship Id="rId968" Type="http://schemas.openxmlformats.org/officeDocument/2006/relationships/hyperlink" Target="https://www.eldiestro.es/2018/12/pedro-sanchez-demuestra-ser-un-ignorante-y-un-caradura-en-una-entrevista-concedida-a-el-pais/" TargetMode="External"/><Relationship Id="rId1153" Type="http://schemas.openxmlformats.org/officeDocument/2006/relationships/hyperlink" Target="https://pbs.twimg.com/media/Dt00VpVVsAAASqo.jpg" TargetMode="External"/><Relationship Id="rId1598" Type="http://schemas.openxmlformats.org/officeDocument/2006/relationships/hyperlink" Target="http://johnhenrykurtz.blogspot.com.es/" TargetMode="External"/><Relationship Id="rId2204" Type="http://schemas.openxmlformats.org/officeDocument/2006/relationships/hyperlink" Target="http://www.sumarium.es/" TargetMode="External"/><Relationship Id="rId2649" Type="http://schemas.openxmlformats.org/officeDocument/2006/relationships/hyperlink" Target="http://kevinmcklein.com/" TargetMode="External"/><Relationship Id="rId2856" Type="http://schemas.openxmlformats.org/officeDocument/2006/relationships/hyperlink" Target="http://www.republica.com/" TargetMode="External"/><Relationship Id="rId97" Type="http://schemas.openxmlformats.org/officeDocument/2006/relationships/hyperlink" Target="https://www.elconfidencial.com/espana/cataluna/2018-12-08/puigdemont-pedira-a-traves-de-su-consell-la-expulsion-de-espana-de-la-union-europea_1693210/" TargetMode="External"/><Relationship Id="rId730" Type="http://schemas.openxmlformats.org/officeDocument/2006/relationships/hyperlink" Target="https://pbs.twimg.com/media/Dt0dlNuWkAUkWIz.jpg" TargetMode="External"/><Relationship Id="rId828" Type="http://schemas.openxmlformats.org/officeDocument/2006/relationships/hyperlink" Target="https://casoaislado.com/pacto-migratorio-firmara-sanchez-marrakech-considerara-delito-criticar-la-inmigracion-cerrara-los-medios-informen-las-criticas/" TargetMode="External"/><Relationship Id="rId1013" Type="http://schemas.openxmlformats.org/officeDocument/2006/relationships/hyperlink" Target="https://www.europapress.es/nacional/noticia-pedro-sanchez-ve-necesario-testimonio-victimas-terrorismo-nadie-nunca-cambie-historia-20181207184644.html" TargetMode="External"/><Relationship Id="rId1360" Type="http://schemas.openxmlformats.org/officeDocument/2006/relationships/hyperlink" Target="https://www.infobae.com/america/deportes/2018/12/07/el-presidente-espanol-pedro-sanchez-asistira-a-la-final-de-la-copa-libertadores-en-el-santiago-bernabeu/" TargetMode="External"/><Relationship Id="rId1458" Type="http://schemas.openxmlformats.org/officeDocument/2006/relationships/hyperlink" Target="http://www.lavanguardia.com/" TargetMode="External"/><Relationship Id="rId1665" Type="http://schemas.openxmlformats.org/officeDocument/2006/relationships/hyperlink" Target="https://pbs.twimg.com/media/DtzwZ4EXQAETvsE.jpg" TargetMode="External"/><Relationship Id="rId1872" Type="http://schemas.openxmlformats.org/officeDocument/2006/relationships/hyperlink" Target="http://chng.it/2SYtNNtT" TargetMode="External"/><Relationship Id="rId2411" Type="http://schemas.openxmlformats.org/officeDocument/2006/relationships/hyperlink" Target="http://www.eldiario.es/" TargetMode="External"/><Relationship Id="rId2509" Type="http://schemas.openxmlformats.org/officeDocument/2006/relationships/hyperlink" Target="http://ddsevilla.info/doqni2" TargetMode="External"/><Relationship Id="rId2716" Type="http://schemas.openxmlformats.org/officeDocument/2006/relationships/hyperlink" Target="https://pbs.twimg.com/media/DtwVA7RVsAAaozT.jpg" TargetMode="External"/><Relationship Id="rId1220" Type="http://schemas.openxmlformats.org/officeDocument/2006/relationships/hyperlink" Target="http://ww.cope.es/zofr63" TargetMode="External"/><Relationship Id="rId1318" Type="http://schemas.openxmlformats.org/officeDocument/2006/relationships/hyperlink" Target="http://bit.ly/2UoMmrB" TargetMode="External"/><Relationship Id="rId1525" Type="http://schemas.openxmlformats.org/officeDocument/2006/relationships/hyperlink" Target="https://www.elimparcial.es/noticia/196408/" TargetMode="External"/><Relationship Id="rId2923" Type="http://schemas.openxmlformats.org/officeDocument/2006/relationships/hyperlink" Target="http://www.teleprensa.com/" TargetMode="External"/><Relationship Id="rId1732" Type="http://schemas.openxmlformats.org/officeDocument/2006/relationships/hyperlink" Target="https://www.eldiario.es/_3245823b" TargetMode="External"/><Relationship Id="rId3185" Type="http://schemas.openxmlformats.org/officeDocument/2006/relationships/hyperlink" Target="http://j.mp/2EeU7LT" TargetMode="External"/><Relationship Id="rId3392" Type="http://schemas.openxmlformats.org/officeDocument/2006/relationships/hyperlink" Target="https://www.libertaddigital.com/espana/politica/2018-12-06/abuheo-general-a-pedro-sanchez-convoca-elecciones-1276629479/" TargetMode="External"/><Relationship Id="rId24" Type="http://schemas.openxmlformats.org/officeDocument/2006/relationships/hyperlink" Target="http://www.pedrocastro.es/" TargetMode="External"/><Relationship Id="rId2299" Type="http://schemas.openxmlformats.org/officeDocument/2006/relationships/hyperlink" Target="https://www.eleconomista.es/politica/noticias/9566705/12/18/Gran-pitada-a-Pedro-Sanchez-a-las-puertas-del-Congreso-en-el-aniversario-de-la-Constitucion.html" TargetMode="External"/><Relationship Id="rId3045" Type="http://schemas.openxmlformats.org/officeDocument/2006/relationships/hyperlink" Target="https://itunes.apple.com/es/book/gettysburg-1863/id665369445?mt=11" TargetMode="External"/><Relationship Id="rId3252" Type="http://schemas.openxmlformats.org/officeDocument/2006/relationships/hyperlink" Target="http://pic.twitter.com/oOaRS4ZryK" TargetMode="External"/><Relationship Id="rId173" Type="http://schemas.openxmlformats.org/officeDocument/2006/relationships/hyperlink" Target="http://www.libertaddigital.com/" TargetMode="External"/><Relationship Id="rId380" Type="http://schemas.openxmlformats.org/officeDocument/2006/relationships/hyperlink" Target="http://www.elperiodico.com.do/" TargetMode="External"/><Relationship Id="rId2061" Type="http://schemas.openxmlformats.org/officeDocument/2006/relationships/hyperlink" Target="http://www.voxespana.es/" TargetMode="External"/><Relationship Id="rId3112" Type="http://schemas.openxmlformats.org/officeDocument/2006/relationships/hyperlink" Target="http://dlvr.it/QszZzc" TargetMode="External"/><Relationship Id="rId240" Type="http://schemas.openxmlformats.org/officeDocument/2006/relationships/hyperlink" Target="https://pbs.twimg.com/media/Dt5hfeuWkAIS3am.jpg" TargetMode="External"/><Relationship Id="rId478" Type="http://schemas.openxmlformats.org/officeDocument/2006/relationships/hyperlink" Target="http://www.votoenblanco.com/" TargetMode="External"/><Relationship Id="rId685" Type="http://schemas.openxmlformats.org/officeDocument/2006/relationships/hyperlink" Target="https://www.elconfidencial.com/espana/2018-12-06/pedro-sanchez-constitucion-pitos-abucheos-afinsa-forum-filatelico_1690530/?utm_source=twitter&amp;utm_medium=social&amp;utm_campaign=BotoneraWeb" TargetMode="External"/><Relationship Id="rId892" Type="http://schemas.openxmlformats.org/officeDocument/2006/relationships/hyperlink" Target="http://epmundo.com/" TargetMode="External"/><Relationship Id="rId2159" Type="http://schemas.openxmlformats.org/officeDocument/2006/relationships/hyperlink" Target="http://www.publico.es/" TargetMode="External"/><Relationship Id="rId2366" Type="http://schemas.openxmlformats.org/officeDocument/2006/relationships/hyperlink" Target="http://www.eldiario.es/" TargetMode="External"/><Relationship Id="rId2573" Type="http://schemas.openxmlformats.org/officeDocument/2006/relationships/hyperlink" Target="https://pbs.twimg.com/media/DtwGXBsWkAUK4yh.jpg" TargetMode="External"/><Relationship Id="rId2780" Type="http://schemas.openxmlformats.org/officeDocument/2006/relationships/hyperlink" Target="http://www.eldiario.es/" TargetMode="External"/><Relationship Id="rId3417" Type="http://schemas.openxmlformats.org/officeDocument/2006/relationships/hyperlink" Target="https://twitter.com/antonioperal/status/1070659752349319168" TargetMode="External"/><Relationship Id="rId100" Type="http://schemas.openxmlformats.org/officeDocument/2006/relationships/hyperlink" Target="https://twitter.com/matthewbennett/status/1071422534174826496" TargetMode="External"/><Relationship Id="rId338" Type="http://schemas.openxmlformats.org/officeDocument/2006/relationships/hyperlink" Target="https://pbs.twimg.com/media/Dt5HVnfW0AAkrWM.jpg" TargetMode="External"/><Relationship Id="rId545" Type="http://schemas.openxmlformats.org/officeDocument/2006/relationships/hyperlink" Target="https://www.facebook.com/profile.php?id=100011075051553" TargetMode="External"/><Relationship Id="rId752" Type="http://schemas.openxmlformats.org/officeDocument/2006/relationships/hyperlink" Target="http://pic.twitter.com/VaixYYckPA" TargetMode="External"/><Relationship Id="rId1175" Type="http://schemas.openxmlformats.org/officeDocument/2006/relationships/hyperlink" Target="https://www.elperiodico.com/es/deportes/20181207/river-boca-final-libertadores-directo-online-7189271" TargetMode="External"/><Relationship Id="rId1382" Type="http://schemas.openxmlformats.org/officeDocument/2006/relationships/hyperlink" Target="https://www.libremercado.com/2018-12-07/el-populismo-de-pedro-sanchez-se-extiende-al-sector-energetico-1276629287/" TargetMode="External"/><Relationship Id="rId2019" Type="http://schemas.openxmlformats.org/officeDocument/2006/relationships/hyperlink" Target="http://www.economistadecabecera.es/" TargetMode="External"/><Relationship Id="rId2226" Type="http://schemas.openxmlformats.org/officeDocument/2006/relationships/hyperlink" Target="https://pbs.twimg.com/media/DtxbHocW4AEH3LG.jpg" TargetMode="External"/><Relationship Id="rId2433" Type="http://schemas.openxmlformats.org/officeDocument/2006/relationships/hyperlink" Target="http://www.holatravelalmonte.es/" TargetMode="External"/><Relationship Id="rId2640" Type="http://schemas.openxmlformats.org/officeDocument/2006/relationships/hyperlink" Target="http://listas.20minutos.es/otros/" TargetMode="External"/><Relationship Id="rId2878" Type="http://schemas.openxmlformats.org/officeDocument/2006/relationships/hyperlink" Target="http://www.instagram.com/danicorderom" TargetMode="External"/><Relationship Id="rId405" Type="http://schemas.openxmlformats.org/officeDocument/2006/relationships/hyperlink" Target="http://pic.twitter.com/5JQuXTKt4g" TargetMode="External"/><Relationship Id="rId612" Type="http://schemas.openxmlformats.org/officeDocument/2006/relationships/hyperlink" Target="https://www.20minutos.es/noticia/3511142/0/pedro-sanchez-asistira-final-libertadores-bernabeu/?utm_source=twitter.com&amp;utm_medium=socialshare&amp;utm_campaign=mobile_web" TargetMode="External"/><Relationship Id="rId1035" Type="http://schemas.openxmlformats.org/officeDocument/2006/relationships/hyperlink" Target="http://www.youtube.com/user/avvnuevaeuropa?feature=results_main" TargetMode="External"/><Relationship Id="rId1242" Type="http://schemas.openxmlformats.org/officeDocument/2006/relationships/hyperlink" Target="https://www.facebook.com/pages/Espa%C3%B1oles-y-Venezolanos-Anti-Podemos/885396501484393?sk=timeline" TargetMode="External"/><Relationship Id="rId1687" Type="http://schemas.openxmlformats.org/officeDocument/2006/relationships/hyperlink" Target="http://pic.twitter.com/HVD6msgDY1" TargetMode="External"/><Relationship Id="rId1894" Type="http://schemas.openxmlformats.org/officeDocument/2006/relationships/hyperlink" Target="https://okdiario.com/espana/2018/12/07/pedro-sanchez-reformar-constitucion-incluir-igualdad-hombres-mujeres-articulo-14-desde-hace-40-anos-3437620" TargetMode="External"/><Relationship Id="rId2500" Type="http://schemas.openxmlformats.org/officeDocument/2006/relationships/hyperlink" Target="http://ddsevilla.info/doqni2" TargetMode="External"/><Relationship Id="rId2738" Type="http://schemas.openxmlformats.org/officeDocument/2006/relationships/hyperlink" Target="https://pbs.twimg.com/media/DtwD3bhX4AA_qWG.jpg" TargetMode="External"/><Relationship Id="rId2945" Type="http://schemas.openxmlformats.org/officeDocument/2006/relationships/hyperlink" Target="http://ow.ly/ouFS30mThgW" TargetMode="External"/><Relationship Id="rId917" Type="http://schemas.openxmlformats.org/officeDocument/2006/relationships/hyperlink" Target="https://www.europapress.es/nacional/noticia-pedro-sanchez-ve-necesario-testimonio-victimas-terrorismo-nadie-nunca-cambie-historia-20181207184644.html" TargetMode="External"/><Relationship Id="rId1102" Type="http://schemas.openxmlformats.org/officeDocument/2006/relationships/hyperlink" Target="https://www.cope.es/n/306196" TargetMode="External"/><Relationship Id="rId1547" Type="http://schemas.openxmlformats.org/officeDocument/2006/relationships/hyperlink" Target="http://www.unoscuantostextos.org/" TargetMode="External"/><Relationship Id="rId1754" Type="http://schemas.openxmlformats.org/officeDocument/2006/relationships/hyperlink" Target="http://www.eldiario.es/" TargetMode="External"/><Relationship Id="rId1961" Type="http://schemas.openxmlformats.org/officeDocument/2006/relationships/hyperlink" Target="https://www.vozpopuli.com/politica/Felipe-Gonzalez-Rajoy-PSOE-Sanchez_0_959904536.html" TargetMode="External"/><Relationship Id="rId2805" Type="http://schemas.openxmlformats.org/officeDocument/2006/relationships/hyperlink" Target="http://www.sudamericahoy.com/" TargetMode="External"/><Relationship Id="rId46" Type="http://schemas.openxmlformats.org/officeDocument/2006/relationships/hyperlink" Target="http://www.lextres.com/" TargetMode="External"/><Relationship Id="rId1407" Type="http://schemas.openxmlformats.org/officeDocument/2006/relationships/hyperlink" Target="http://www.lasexta.com/noticias/deportes/" TargetMode="External"/><Relationship Id="rId1614" Type="http://schemas.openxmlformats.org/officeDocument/2006/relationships/hyperlink" Target="https://www.libertaddigital.com/espana/2018-12-06/pedro-sanchez-desconoce-la-constitucion-pide-reformarla-para-incluir-la-igualdad-entre-hombres-y-mujeres-1276629507/" TargetMode="External"/><Relationship Id="rId1821" Type="http://schemas.openxmlformats.org/officeDocument/2006/relationships/hyperlink" Target="https://www.eldiestro.es/2018/12/pedro-sanchez-demuestra-ser-un-ignorante-y-un-caradura-en-una-entrevista-concedida-a-el-pais/" TargetMode="External"/><Relationship Id="rId3067" Type="http://schemas.openxmlformats.org/officeDocument/2006/relationships/hyperlink" Target="https://pbs.twimg.com/media/DtmSzMDX4AAmi-V.jpg" TargetMode="External"/><Relationship Id="rId3274" Type="http://schemas.openxmlformats.org/officeDocument/2006/relationships/hyperlink" Target="http://www.eldiario.es/andalucia/" TargetMode="External"/><Relationship Id="rId195" Type="http://schemas.openxmlformats.org/officeDocument/2006/relationships/hyperlink" Target="https://okdiario.com/economia/2018/12/08/italia-credibilidad-presupuestos-pedro-sanchez-denunciar-ue-trato-discriminatorio-3437675" TargetMode="External"/><Relationship Id="rId1919" Type="http://schemas.openxmlformats.org/officeDocument/2006/relationships/hyperlink" Target="https://pbs.twimg.com/media/DtwD3bhX4AA_qWG.jpg" TargetMode="External"/><Relationship Id="rId2083" Type="http://schemas.openxmlformats.org/officeDocument/2006/relationships/hyperlink" Target="https://okdiario.com/espana/2018/12/07/pedro-sanchez-reformar-constitucion-incluir-igualdad-hombres-mujeres-articulo-14-desde-hace-40-anos-3437620" TargetMode="External"/><Relationship Id="rId2290" Type="http://schemas.openxmlformats.org/officeDocument/2006/relationships/hyperlink" Target="https://www.abc.es/espana/abci-pedro-sanchez-llega-entre-abucheos-congreso-40-aniversario-constitucion-201812061227_noticia.html" TargetMode="External"/><Relationship Id="rId2388" Type="http://schemas.openxmlformats.org/officeDocument/2006/relationships/hyperlink" Target="https://twitter.com/josecdiez/status/1070301933041270785" TargetMode="External"/><Relationship Id="rId2595" Type="http://schemas.openxmlformats.org/officeDocument/2006/relationships/hyperlink" Target="https://twitter.com/sanchezcastejon/status/1070736196228317184" TargetMode="External"/><Relationship Id="rId3134" Type="http://schemas.openxmlformats.org/officeDocument/2006/relationships/hyperlink" Target="https://pbs.twimg.com/media/DtvfFmZVYAASvTc.jpg" TargetMode="External"/><Relationship Id="rId3341" Type="http://schemas.openxmlformats.org/officeDocument/2006/relationships/hyperlink" Target="https://abenitezlopez.wordpress.com/" TargetMode="External"/><Relationship Id="rId262" Type="http://schemas.openxmlformats.org/officeDocument/2006/relationships/hyperlink" Target="https://okdiario.com/economia/2018/12/08/italia-credibilidad-presupuestos-pedro-sanchez-denunciar-ue-trato-discriminatorio-3437675" TargetMode="External"/><Relationship Id="rId567" Type="http://schemas.openxmlformats.org/officeDocument/2006/relationships/hyperlink" Target="http://lasteles.com/" TargetMode="External"/><Relationship Id="rId1197" Type="http://schemas.openxmlformats.org/officeDocument/2006/relationships/hyperlink" Target="http://www.europapress.es/nacional/" TargetMode="External"/><Relationship Id="rId2150" Type="http://schemas.openxmlformats.org/officeDocument/2006/relationships/hyperlink" Target="https://pbs.twimg.com/media/DtyWaeoWoAAn-t6.jpg" TargetMode="External"/><Relationship Id="rId2248" Type="http://schemas.openxmlformats.org/officeDocument/2006/relationships/hyperlink" Target="https://www.eldiario.es/_3245823b" TargetMode="External"/><Relationship Id="rId3201" Type="http://schemas.openxmlformats.org/officeDocument/2006/relationships/hyperlink" Target="https://www.20minutos.es/noticia/3510387/0/abucheos-pedro-sanchez-congreso-aniversario-constitucion/?utm_source=twitter.com&amp;utm_medium=socialshare&amp;utm_campaign=mobile_amp" TargetMode="External"/><Relationship Id="rId122" Type="http://schemas.openxmlformats.org/officeDocument/2006/relationships/hyperlink" Target="http://www.psoe.es/actualidad/noticias-actualidad/pedro-sanchez-asegura-que-presentara-unos-pge-con-tres-objetivos-que-sean-sostenibles-desde-el-punto-social-medioambiental-y-financiero/" TargetMode="External"/><Relationship Id="rId774" Type="http://schemas.openxmlformats.org/officeDocument/2006/relationships/hyperlink" Target="https://www.elmundo.es/cataluna/2018/12/07/5c0acd4efdddffcfa28b45bf.html" TargetMode="External"/><Relationship Id="rId981" Type="http://schemas.openxmlformats.org/officeDocument/2006/relationships/hyperlink" Target="http://dlvr.it/Qt4wBL" TargetMode="External"/><Relationship Id="rId1057" Type="http://schemas.openxmlformats.org/officeDocument/2006/relationships/hyperlink" Target="http://jf15nal.blogspot.com/" TargetMode="External"/><Relationship Id="rId2010" Type="http://schemas.openxmlformats.org/officeDocument/2006/relationships/hyperlink" Target="https://www.ondacero.es/programas/mas-de-uno/audios-podcast/monologo-de-alsina/sanchez-presentara-presupuestos-que-pierde-pero-intentando-convertir-derrota-en-exito-para-campana_201812055c077a6e0cf21af4301a96a1.html" TargetMode="External"/><Relationship Id="rId2455" Type="http://schemas.openxmlformats.org/officeDocument/2006/relationships/hyperlink" Target="https://pbs.twimg.com/media/Dtwx8KhU0AAyus4.jpg" TargetMode="External"/><Relationship Id="rId2662" Type="http://schemas.openxmlformats.org/officeDocument/2006/relationships/hyperlink" Target="https://www.20minutos.es/noticia/3510387/0/abucheos-pedro-sanchez-congreso-aniversario-constitucion/?utm_source=twitter.com&amp;utm_medium=socialshare&amp;utm_campaign=mobile_amp" TargetMode="External"/><Relationship Id="rId427" Type="http://schemas.openxmlformats.org/officeDocument/2006/relationships/hyperlink" Target="http://abcdesevilla.es/" TargetMode="External"/><Relationship Id="rId634" Type="http://schemas.openxmlformats.org/officeDocument/2006/relationships/hyperlink" Target="http://dlvr.it/Qt6P0V" TargetMode="External"/><Relationship Id="rId841" Type="http://schemas.openxmlformats.org/officeDocument/2006/relationships/hyperlink" Target="https://twitter.com/sanchezcastejon/status/1071108859635351552" TargetMode="External"/><Relationship Id="rId1264" Type="http://schemas.openxmlformats.org/officeDocument/2006/relationships/hyperlink" Target="http://www.radiohuancavilca.com.ec/" TargetMode="External"/><Relationship Id="rId1471" Type="http://schemas.openxmlformats.org/officeDocument/2006/relationships/hyperlink" Target="https://pbs.twimg.com/media/Dt0KuKNXgAAUbS7.jpg" TargetMode="External"/><Relationship Id="rId1569" Type="http://schemas.openxmlformats.org/officeDocument/2006/relationships/hyperlink" Target="http://www.multiforo.eu/" TargetMode="External"/><Relationship Id="rId2108" Type="http://schemas.openxmlformats.org/officeDocument/2006/relationships/hyperlink" Target="https://pbs.twimg.com/media/DtyySq0WoAAftx2.jpg" TargetMode="External"/><Relationship Id="rId2315" Type="http://schemas.openxmlformats.org/officeDocument/2006/relationships/hyperlink" Target="http://www.pressdigital.es/" TargetMode="External"/><Relationship Id="rId2522" Type="http://schemas.openxmlformats.org/officeDocument/2006/relationships/hyperlink" Target="http://escacseivissa.blogspot.com.es/" TargetMode="External"/><Relationship Id="rId2967" Type="http://schemas.openxmlformats.org/officeDocument/2006/relationships/hyperlink" Target="http://abc.es/" TargetMode="External"/><Relationship Id="rId701" Type="http://schemas.openxmlformats.org/officeDocument/2006/relationships/hyperlink" Target="https://www.libremercado.com/2018-12-07/el-populismo-de-pedro-sanchez-se-extiende-al-sector-energetico-1276629287/" TargetMode="External"/><Relationship Id="rId939" Type="http://schemas.openxmlformats.org/officeDocument/2006/relationships/hyperlink" Target="https://pbs.twimg.com/media/Dt1dkzPU0AADFY0.jpg" TargetMode="External"/><Relationship Id="rId1124" Type="http://schemas.openxmlformats.org/officeDocument/2006/relationships/hyperlink" Target="https://pbs.twimg.com/media/Dt06JDnXQAA-YwF.jpg" TargetMode="External"/><Relationship Id="rId1331" Type="http://schemas.openxmlformats.org/officeDocument/2006/relationships/hyperlink" Target="https://bit.ly/2zOf4cP" TargetMode="External"/><Relationship Id="rId1776" Type="http://schemas.openxmlformats.org/officeDocument/2006/relationships/hyperlink" Target="http://www.ure&#241;aortegaabogados.com/" TargetMode="External"/><Relationship Id="rId1983" Type="http://schemas.openxmlformats.org/officeDocument/2006/relationships/hyperlink" Target="https://www.libremercado.com/2018-12-07/el-populismo-de-pedro-sanchez-se-extiende-al-sector-energetico-1276629287/" TargetMode="External"/><Relationship Id="rId2827" Type="http://schemas.openxmlformats.org/officeDocument/2006/relationships/hyperlink" Target="http://elperroverdeverde.blogspot.com.es/?m=1" TargetMode="External"/><Relationship Id="rId68" Type="http://schemas.openxmlformats.org/officeDocument/2006/relationships/hyperlink" Target="http://pic.twitter.com/zq4IxlQ7iQ" TargetMode="External"/><Relationship Id="rId1429" Type="http://schemas.openxmlformats.org/officeDocument/2006/relationships/hyperlink" Target="http://atres.red/f0lew1" TargetMode="External"/><Relationship Id="rId1636" Type="http://schemas.openxmlformats.org/officeDocument/2006/relationships/hyperlink" Target="https://pbs.twimg.com/media/Dtz1wOLU0AAfJPn.jpg" TargetMode="External"/><Relationship Id="rId1843" Type="http://schemas.openxmlformats.org/officeDocument/2006/relationships/hyperlink" Target="https://tv.libertaddigital.com/videos/2018-12-06/abucheos-a-pedro-sanchez-en-los-actos-de-la-constitucion-6067358.html" TargetMode="External"/><Relationship Id="rId3089" Type="http://schemas.openxmlformats.org/officeDocument/2006/relationships/hyperlink" Target="https://elpais.com/politica/2018/12/04/actualidad/1543916726_658727.html" TargetMode="External"/><Relationship Id="rId3296" Type="http://schemas.openxmlformats.org/officeDocument/2006/relationships/hyperlink" Target="https://www.elcorreo.com/40-aniversario-constitucion/pedro-sanchez-lleva-20181206123919-ntrc.html" TargetMode="External"/><Relationship Id="rId1703" Type="http://schemas.openxmlformats.org/officeDocument/2006/relationships/hyperlink" Target="http://ww.cope.es/zofr62" TargetMode="External"/><Relationship Id="rId1910" Type="http://schemas.openxmlformats.org/officeDocument/2006/relationships/hyperlink" Target="http://eltrasterodeguizz.blogspot.com/" TargetMode="External"/><Relationship Id="rId3156" Type="http://schemas.openxmlformats.org/officeDocument/2006/relationships/hyperlink" Target="https://www.europapress.es/nacional/noticia-pedro-sanchez-ve-mas-probable-consorcio-derechas-andalucia-repeticion-elecciones-20181206153806.html" TargetMode="External"/><Relationship Id="rId3363" Type="http://schemas.openxmlformats.org/officeDocument/2006/relationships/hyperlink" Target="https://pbs.twimg.com/media/DtvE52WWkAA_18V.jpg" TargetMode="External"/><Relationship Id="rId284" Type="http://schemas.openxmlformats.org/officeDocument/2006/relationships/hyperlink" Target="https://www.esdiario.com/151059239/Pedro-Sanchez-tambien-hara-huelga-de-hambre-en-solidaridad-con-los-presos.html" TargetMode="External"/><Relationship Id="rId491" Type="http://schemas.openxmlformats.org/officeDocument/2006/relationships/hyperlink" Target="http://epmundo.com/" TargetMode="External"/><Relationship Id="rId2172" Type="http://schemas.openxmlformats.org/officeDocument/2006/relationships/hyperlink" Target="https://profiles.google.com/abelfranc" TargetMode="External"/><Relationship Id="rId3016" Type="http://schemas.openxmlformats.org/officeDocument/2006/relationships/hyperlink" Target="https://www.esdiario.com/452403351/Las-cifras-del-panico-asi-conduce-Pedro-Sanchez-al-precipicio-al-PSOE-.html" TargetMode="External"/><Relationship Id="rId3223" Type="http://schemas.openxmlformats.org/officeDocument/2006/relationships/hyperlink" Target="http://www.pedrocastro.es/" TargetMode="External"/><Relationship Id="rId144" Type="http://schemas.openxmlformats.org/officeDocument/2006/relationships/hyperlink" Target="https://pbs.twimg.com/media/Dt5sW-_W4AAqcIR.jpg" TargetMode="External"/><Relationship Id="rId589" Type="http://schemas.openxmlformats.org/officeDocument/2006/relationships/hyperlink" Target="http://paisbizarro.org/" TargetMode="External"/><Relationship Id="rId796" Type="http://schemas.openxmlformats.org/officeDocument/2006/relationships/hyperlink" Target="https://www.facebook.com/Credit-Repair-in-North-Carolina-110430229441280/" TargetMode="External"/><Relationship Id="rId2477" Type="http://schemas.openxmlformats.org/officeDocument/2006/relationships/hyperlink" Target="http://youtu.be/0U0D-Kk-wl4?a" TargetMode="External"/><Relationship Id="rId2684" Type="http://schemas.openxmlformats.org/officeDocument/2006/relationships/hyperlink" Target="https://twitter.com/CriticoJM/status/1070745736944472064" TargetMode="External"/><Relationship Id="rId3430" Type="http://schemas.openxmlformats.org/officeDocument/2006/relationships/hyperlink" Target="https://pbs.twimg.com/media/DtuC5P7XgAACSBw.jpg" TargetMode="External"/><Relationship Id="rId351" Type="http://schemas.openxmlformats.org/officeDocument/2006/relationships/hyperlink" Target="https://pbs.twimg.com/media/Dt5DVxvXQAEEH8k.jpg" TargetMode="External"/><Relationship Id="rId449" Type="http://schemas.openxmlformats.org/officeDocument/2006/relationships/hyperlink" Target="https://pbs.twimg.com/media/Dt4ryt8X4AQBauJ.jpg" TargetMode="External"/><Relationship Id="rId656" Type="http://schemas.openxmlformats.org/officeDocument/2006/relationships/hyperlink" Target="http://epmundo.com/2018/el-bombazo-que-lanzo-pedro-sanchez-sobre-las-elecciones-generales/" TargetMode="External"/><Relationship Id="rId863" Type="http://schemas.openxmlformats.org/officeDocument/2006/relationships/hyperlink" Target="https://pbs.twimg.com/media/Dt1E9BnW0AA0u4B.jpg" TargetMode="External"/><Relationship Id="rId1079" Type="http://schemas.openxmlformats.org/officeDocument/2006/relationships/hyperlink" Target="https://okdiario-com.cdn.ampproject.org/v/s/okdiario.com/economia/empleo/2018/12/07/guino-del-gobierno-autonomo-plan-empleo-joven-premia-bonificaciones-contratacion-cuenta-propia-3438794/amp?amp_js_v=a2&amp;amp_gsa=1" TargetMode="External"/><Relationship Id="rId1286" Type="http://schemas.openxmlformats.org/officeDocument/2006/relationships/hyperlink" Target="https://pbs.twimg.com/media/Dt0gZWCVAAAsMka.jpg" TargetMode="External"/><Relationship Id="rId1493" Type="http://schemas.openxmlformats.org/officeDocument/2006/relationships/hyperlink" Target="https://buff.ly/2p5JPUG" TargetMode="External"/><Relationship Id="rId2032" Type="http://schemas.openxmlformats.org/officeDocument/2006/relationships/hyperlink" Target="https://www.esdiario.com/151059239/Pedro-Sanchez-tambien-hara-huelga-de-hambre-en-solidaridad-con-los-presos.html" TargetMode="External"/><Relationship Id="rId2337" Type="http://schemas.openxmlformats.org/officeDocument/2006/relationships/hyperlink" Target="http://www.benicolchon.com/" TargetMode="External"/><Relationship Id="rId2544" Type="http://schemas.openxmlformats.org/officeDocument/2006/relationships/hyperlink" Target="https://www.libertaddigital.com/espana/2018-12-06/pedro-sanchez-desconoce-la-constitucion-pide-reformarla-para-incluir-la-igualdad-entre-hombres-y-mujeres-1276629507/" TargetMode="External"/><Relationship Id="rId2891" Type="http://schemas.openxmlformats.org/officeDocument/2006/relationships/hyperlink" Target="https://www.elconfidencial.com/espana/2018-12-06/pedro-sanchez-adelanto-electoral-marzo-seguiremos-trabajando-gobernando_1690978/?utm_source=twitter&amp;utm_medium=social&amp;utm_campaign=BotoneraWeb" TargetMode="External"/><Relationship Id="rId2989" Type="http://schemas.openxmlformats.org/officeDocument/2006/relationships/hyperlink" Target="https://pbs.twimg.com/media/DtvwKUTWkAIf1Wn.jpg" TargetMode="External"/><Relationship Id="rId211" Type="http://schemas.openxmlformats.org/officeDocument/2006/relationships/hyperlink" Target="https://pbs.twimg.com/media/Dt5k1vEX4AAE0MQ.jpg" TargetMode="External"/><Relationship Id="rId309" Type="http://schemas.openxmlformats.org/officeDocument/2006/relationships/hyperlink" Target="https://pbs.twimg.com/media/Dt5SCTEWkAElRq8.jpg" TargetMode="External"/><Relationship Id="rId516" Type="http://schemas.openxmlformats.org/officeDocument/2006/relationships/hyperlink" Target="https://www.facebook.com/indaok/" TargetMode="External"/><Relationship Id="rId1146" Type="http://schemas.openxmlformats.org/officeDocument/2006/relationships/hyperlink" Target="https://www.mediterraneodigital.com/espana/espana/ridiculo-apoteosico-pedro-sanchez-pide-reformar-la-constitucion-para-incluir-un-articulo-que-ya-existe.html" TargetMode="External"/><Relationship Id="rId1798" Type="http://schemas.openxmlformats.org/officeDocument/2006/relationships/hyperlink" Target="https://okdiario.com/espana/2018/12/07/reina-letizia-indignada-begona-gomez-que-quiere-usurpar-funciones-primera-dama-3415537" TargetMode="External"/><Relationship Id="rId2751" Type="http://schemas.openxmlformats.org/officeDocument/2006/relationships/hyperlink" Target="https://blogmiyares.blogspot.com/2018/12/pedro-sanchez-aleja-la-posibilidad-de.html?spref=tw" TargetMode="External"/><Relationship Id="rId2849" Type="http://schemas.openxmlformats.org/officeDocument/2006/relationships/hyperlink" Target="https://www.elespanol.com/espana/politica/20181206/abucheos-pitos-pedro-sanchez-puertas-congreso/358714535_0.html" TargetMode="External"/><Relationship Id="rId723" Type="http://schemas.openxmlformats.org/officeDocument/2006/relationships/hyperlink" Target="https://binged.it/2QEK5cJ" TargetMode="External"/><Relationship Id="rId930" Type="http://schemas.openxmlformats.org/officeDocument/2006/relationships/hyperlink" Target="http://ow.ly/AD0l30mU108" TargetMode="External"/><Relationship Id="rId1006" Type="http://schemas.openxmlformats.org/officeDocument/2006/relationships/hyperlink" Target="https://www.eldiario.es/politica/Gobierno-distancias-independentistas-PSOE-Andalucia_0_843066462.html" TargetMode="External"/><Relationship Id="rId1353" Type="http://schemas.openxmlformats.org/officeDocument/2006/relationships/hyperlink" Target="https://twitter.com/TeoGarciaEgea/status/1069709119664390144" TargetMode="External"/><Relationship Id="rId1560" Type="http://schemas.openxmlformats.org/officeDocument/2006/relationships/hyperlink" Target="https://fitwhatsername.wordpress.com/" TargetMode="External"/><Relationship Id="rId1658" Type="http://schemas.openxmlformats.org/officeDocument/2006/relationships/hyperlink" Target="https://www.cope.es/programas/herrera-en-cope/noticias/herrera-20181207_306196" TargetMode="External"/><Relationship Id="rId1865" Type="http://schemas.openxmlformats.org/officeDocument/2006/relationships/hyperlink" Target="https://ift.tt/2Qfr7tO" TargetMode="External"/><Relationship Id="rId2404" Type="http://schemas.openxmlformats.org/officeDocument/2006/relationships/hyperlink" Target="https://www.libertaddigital.com/espana/2018-12-06/pedro-sanchez-desconoce-la-constitucion-pide-reformarla-para-incluir-la-igualdad-entre-hombres-y-mujeres-1276629507/" TargetMode="External"/><Relationship Id="rId2611" Type="http://schemas.openxmlformats.org/officeDocument/2006/relationships/hyperlink" Target="https://www.libertaddigital.com/espana/2018-12-06/pedro-sanchez-desconoce-la-constitucion-pide-reformarla-para-incluir-la-igualdad-entre-hombres-y-mujeres-1276629507/" TargetMode="External"/><Relationship Id="rId2709" Type="http://schemas.openxmlformats.org/officeDocument/2006/relationships/hyperlink" Target="https://&#241;apa.es/pedro-sanchez-quiere-reformar-la-constitucion-para-incluir-la-igualdad-entre-hombres-y-mujeres/" TargetMode="External"/><Relationship Id="rId1213" Type="http://schemas.openxmlformats.org/officeDocument/2006/relationships/hyperlink" Target="https://pbs.twimg.com/media/Dt0qfqyU0AEsisk.jpg" TargetMode="External"/><Relationship Id="rId1420" Type="http://schemas.openxmlformats.org/officeDocument/2006/relationships/hyperlink" Target="https://pbs.twimg.com/media/Dt0G-U4WwAIl0jS.jpg" TargetMode="External"/><Relationship Id="rId1518" Type="http://schemas.openxmlformats.org/officeDocument/2006/relationships/hyperlink" Target="https://www.facebook.com/jaenmagazine/posts/2282783305333516" TargetMode="External"/><Relationship Id="rId2916" Type="http://schemas.openxmlformats.org/officeDocument/2006/relationships/hyperlink" Target="https://www.facebook.com/mocanosrd/videos/291880231433762/" TargetMode="External"/><Relationship Id="rId3080" Type="http://schemas.openxmlformats.org/officeDocument/2006/relationships/hyperlink" Target="http://noticiarioespanol.com/" TargetMode="External"/><Relationship Id="rId1725" Type="http://schemas.openxmlformats.org/officeDocument/2006/relationships/hyperlink" Target="https://www.elconfidencialdigital.com/articulo/politica/pedro-sanchez-amenaza-susana-diaz-repetir-operacion-acabo-tomas-gomez/20181205184900119027.html" TargetMode="External"/><Relationship Id="rId1932" Type="http://schemas.openxmlformats.org/officeDocument/2006/relationships/hyperlink" Target="http://www.casoaislado.com/" TargetMode="External"/><Relationship Id="rId3178" Type="http://schemas.openxmlformats.org/officeDocument/2006/relationships/hyperlink" Target="http://gagathesats.tumblr.com/" TargetMode="External"/><Relationship Id="rId3385" Type="http://schemas.openxmlformats.org/officeDocument/2006/relationships/hyperlink" Target="https://pbs.twimg.com/media/DtvDmp7U4AA3lTi.jpg" TargetMode="External"/><Relationship Id="rId17" Type="http://schemas.openxmlformats.org/officeDocument/2006/relationships/hyperlink" Target="http://www.sca-legal.com/" TargetMode="External"/><Relationship Id="rId2194" Type="http://schemas.openxmlformats.org/officeDocument/2006/relationships/hyperlink" Target="https://curiouscat.me/cryingwithsatan" TargetMode="External"/><Relationship Id="rId3038" Type="http://schemas.openxmlformats.org/officeDocument/2006/relationships/hyperlink" Target="https://www.diariodepontevedra.es/video/videos/pedro-sanchez-recibe-abucheos-llegada-salida-homenaje-constitucion/201812061637341012611.html" TargetMode="External"/><Relationship Id="rId3245" Type="http://schemas.openxmlformats.org/officeDocument/2006/relationships/hyperlink" Target="http://www.siempre.com.mx/" TargetMode="External"/><Relationship Id="rId166" Type="http://schemas.openxmlformats.org/officeDocument/2006/relationships/hyperlink" Target="http://www.libertadfm.es/" TargetMode="External"/><Relationship Id="rId373" Type="http://schemas.openxmlformats.org/officeDocument/2006/relationships/hyperlink" Target="https://www.huffingtonpost.es/esther-palomera/que-diran-de-ellos-cuando-ya-no-esten_a_23611994/" TargetMode="External"/><Relationship Id="rId580" Type="http://schemas.openxmlformats.org/officeDocument/2006/relationships/hyperlink" Target="http://www.firmamentocultural.blogspot.com.es/" TargetMode="External"/><Relationship Id="rId2054" Type="http://schemas.openxmlformats.org/officeDocument/2006/relationships/hyperlink" Target="https://pbs.twimg.com/media/DtwD3bhX4AA_qWG.jpg" TargetMode="External"/><Relationship Id="rId2261" Type="http://schemas.openxmlformats.org/officeDocument/2006/relationships/hyperlink" Target="https://pbs.twimg.com/media/DtxQJb0W0AUGfaP.jpg" TargetMode="External"/><Relationship Id="rId2499" Type="http://schemas.openxmlformats.org/officeDocument/2006/relationships/hyperlink" Target="http://www.huelvainformacion.es/" TargetMode="External"/><Relationship Id="rId3105" Type="http://schemas.openxmlformats.org/officeDocument/2006/relationships/hyperlink" Target="https://pbs.twimg.com/media/DtvidGeWsAAJUTW.jpg" TargetMode="External"/><Relationship Id="rId3312" Type="http://schemas.openxmlformats.org/officeDocument/2006/relationships/hyperlink" Target="https://bit.ly/2Sx3CJn" TargetMode="External"/><Relationship Id="rId1" Type="http://schemas.openxmlformats.org/officeDocument/2006/relationships/hyperlink" Target="https://www.20minutos.es/noticia/3511559/0/pedro-sanchez-proeuropeo-apoyarse-fuerzas-antieuropeistas-gobernar/?utm_source=twitter.com&amp;utm_medium=socialshare&amp;utm_campaign=desktop" TargetMode="External"/><Relationship Id="rId233" Type="http://schemas.openxmlformats.org/officeDocument/2006/relationships/hyperlink" Target="http://bajarebooks.org/" TargetMode="External"/><Relationship Id="rId440" Type="http://schemas.openxmlformats.org/officeDocument/2006/relationships/hyperlink" Target="http://www.lasexta.com/elintermedio" TargetMode="External"/><Relationship Id="rId678" Type="http://schemas.openxmlformats.org/officeDocument/2006/relationships/hyperlink" Target="http://epmundo.com/" TargetMode="External"/><Relationship Id="rId885" Type="http://schemas.openxmlformats.org/officeDocument/2006/relationships/hyperlink" Target="https://twitter.com/sergio_mayor/status/1070984649973874688" TargetMode="External"/><Relationship Id="rId1070" Type="http://schemas.openxmlformats.org/officeDocument/2006/relationships/hyperlink" Target="http://www.gppopular.es/" TargetMode="External"/><Relationship Id="rId2121" Type="http://schemas.openxmlformats.org/officeDocument/2006/relationships/hyperlink" Target="https://m.eldiario.es/politica/Pedro-Sanchez-reforma-Constitucion-igualdad_0_843416144.html" TargetMode="External"/><Relationship Id="rId2359" Type="http://schemas.openxmlformats.org/officeDocument/2006/relationships/hyperlink" Target="https://www.facebook.com/pages/Unidad-Nacional-Espa%C3%B1ola/486217364760580?ref=stream" TargetMode="External"/><Relationship Id="rId2566" Type="http://schemas.openxmlformats.org/officeDocument/2006/relationships/hyperlink" Target="https://pbs.twimg.com/media/DtvxK3qWoAEVWOK.jpg" TargetMode="External"/><Relationship Id="rId2773" Type="http://schemas.openxmlformats.org/officeDocument/2006/relationships/hyperlink" Target="http://dondiario.com/" TargetMode="External"/><Relationship Id="rId2980" Type="http://schemas.openxmlformats.org/officeDocument/2006/relationships/hyperlink" Target="https://www.youtube.com/user/PlastiGameR" TargetMode="External"/><Relationship Id="rId300" Type="http://schemas.openxmlformats.org/officeDocument/2006/relationships/hyperlink" Target="http://pic.twitter.com/EvauqBwyq4" TargetMode="External"/><Relationship Id="rId538" Type="http://schemas.openxmlformats.org/officeDocument/2006/relationships/hyperlink" Target="https://casoaislado.com/pedro-sanchez-reconocera-cataluna-como-nacion-a-cambio-de-que-los-independentistas-acepten-los-presupuestos/" TargetMode="External"/><Relationship Id="rId745" Type="http://schemas.openxmlformats.org/officeDocument/2006/relationships/hyperlink" Target="http://www.eldiario.es/" TargetMode="External"/><Relationship Id="rId952" Type="http://schemas.openxmlformats.org/officeDocument/2006/relationships/hyperlink" Target="https://ift.tt/2G6UZ78" TargetMode="External"/><Relationship Id="rId1168" Type="http://schemas.openxmlformats.org/officeDocument/2006/relationships/hyperlink" Target="https://pbs.twimg.com/media/Dt0yjEaW4AEVvwj.jpg" TargetMode="External"/><Relationship Id="rId1375" Type="http://schemas.openxmlformats.org/officeDocument/2006/relationships/hyperlink" Target="https://twitter.com/sanchezcastejon/status/1070736196228317184" TargetMode="External"/><Relationship Id="rId1582" Type="http://schemas.openxmlformats.org/officeDocument/2006/relationships/hyperlink" Target="https://www.economiadigital.es/" TargetMode="External"/><Relationship Id="rId2219" Type="http://schemas.openxmlformats.org/officeDocument/2006/relationships/hyperlink" Target="https://twitter.com/Bcnisnotcat_/status/1070801745968852992" TargetMode="External"/><Relationship Id="rId2426" Type="http://schemas.openxmlformats.org/officeDocument/2006/relationships/hyperlink" Target="https://elpais.com/politica/2018/12/06/actualidad/1544108922_690929.html" TargetMode="External"/><Relationship Id="rId2633" Type="http://schemas.openxmlformats.org/officeDocument/2006/relationships/hyperlink" Target="https://www.libertaddigital.com/espana/2018-12-06/pedro-sanchez-desconoce-la-constitucion-pide-reformarla-para-incluir-la-igualdad-entre-hombres-y-mujeres-1276629507/" TargetMode="External"/><Relationship Id="rId81" Type="http://schemas.openxmlformats.org/officeDocument/2006/relationships/hyperlink" Target="https://www.20minutos.es/noticia/3511559/0/pedro-sanchez-proeuropeo-apoyarse-fuerzas-antieuropeistas-gobernar/" TargetMode="External"/><Relationship Id="rId605" Type="http://schemas.openxmlformats.org/officeDocument/2006/relationships/hyperlink" Target="http://epmundo.com/2018/el-bombazo-que-lanzo-pedro-sanchez-sobre-las-elecciones-generales/" TargetMode="External"/><Relationship Id="rId812" Type="http://schemas.openxmlformats.org/officeDocument/2006/relationships/hyperlink" Target="https://www.mediterraneodigital.com/espana/espana/ridiculo-apoteosico-pedro-sanchez-pide-reformar-la-constitucion-para-incluir-un-articulo-que-ya-existe.html" TargetMode="External"/><Relationship Id="rId1028" Type="http://schemas.openxmlformats.org/officeDocument/2006/relationships/hyperlink" Target="https://www.huffingtonpost.es/2018/12/04/pedro-sanchez-entrevista-telecinco-pedro-piqueras-tras-elecciones-andaluzas_a_23608490/?ncid=other_twitter_cooo9wqtham&amp;utm_campaign=share_twitter" TargetMode="External"/><Relationship Id="rId1235" Type="http://schemas.openxmlformats.org/officeDocument/2006/relationships/hyperlink" Target="http://epmundo.com/espana" TargetMode="External"/><Relationship Id="rId1442" Type="http://schemas.openxmlformats.org/officeDocument/2006/relationships/hyperlink" Target="https://www.cope.es/n/306196" TargetMode="External"/><Relationship Id="rId1887" Type="http://schemas.openxmlformats.org/officeDocument/2006/relationships/hyperlink" Target="https://www.elconfidencial.com/espana/2018-12-06/pedro-sanchez-adelanto-electoral-marzo-seguiremos-trabajando-gobernando_1690978/" TargetMode="External"/><Relationship Id="rId2840" Type="http://schemas.openxmlformats.org/officeDocument/2006/relationships/hyperlink" Target="http://futbolred.com/" TargetMode="External"/><Relationship Id="rId2938" Type="http://schemas.openxmlformats.org/officeDocument/2006/relationships/hyperlink" Target="https://www.libertaddigital.com/espana/politica/2018-12-06/abuheo-general-a-pedro-sanchez-convoca-elecciones-1276629479/" TargetMode="External"/><Relationship Id="rId1302" Type="http://schemas.openxmlformats.org/officeDocument/2006/relationships/hyperlink" Target="http://abc.es/" TargetMode="External"/><Relationship Id="rId1747" Type="http://schemas.openxmlformats.org/officeDocument/2006/relationships/hyperlink" Target="http://page.is/ppapanol" TargetMode="External"/><Relationship Id="rId1954" Type="http://schemas.openxmlformats.org/officeDocument/2006/relationships/hyperlink" Target="https://twitter.com/Bcnisnotcat_/status/1070802645567328256" TargetMode="External"/><Relationship Id="rId2700" Type="http://schemas.openxmlformats.org/officeDocument/2006/relationships/hyperlink" Target="https://www.youtube.com/channel/UCY60GBj-H8SmayRG1UgDVWw" TargetMode="External"/><Relationship Id="rId39" Type="http://schemas.openxmlformats.org/officeDocument/2006/relationships/hyperlink" Target="https://pbs.twimg.com/media/Dt6GLfUU0AUrabE.jpg" TargetMode="External"/><Relationship Id="rId1607" Type="http://schemas.openxmlformats.org/officeDocument/2006/relationships/hyperlink" Target="http://epmundo.com/2018/descontentos-asi-recibieron-a-pedro-sanchez-en-el-congreso-video/" TargetMode="External"/><Relationship Id="rId1814" Type="http://schemas.openxmlformats.org/officeDocument/2006/relationships/hyperlink" Target="https://www.lavanguardia.com/economia/20181207/453403582708/deficit-gobierno-presupuestos-pedro-sanchez-consejo-de-ministros.html?utm_source=twitter_lv&amp;utm_medium=social" TargetMode="External"/><Relationship Id="rId3267" Type="http://schemas.openxmlformats.org/officeDocument/2006/relationships/hyperlink" Target="http://www.loscaballerosdeldinero.com/" TargetMode="External"/><Relationship Id="rId188" Type="http://schemas.openxmlformats.org/officeDocument/2006/relationships/hyperlink" Target="https://pbs.twimg.com/media/Dt5ohmEXcAEdV2t.jpg" TargetMode="External"/><Relationship Id="rId395" Type="http://schemas.openxmlformats.org/officeDocument/2006/relationships/hyperlink" Target="https://pbs.twimg.com/media/Dt45IfYW0AEMahD.jpg" TargetMode="External"/><Relationship Id="rId2076" Type="http://schemas.openxmlformats.org/officeDocument/2006/relationships/hyperlink" Target="https://www.ondacero.es/directo/" TargetMode="External"/><Relationship Id="rId2283" Type="http://schemas.openxmlformats.org/officeDocument/2006/relationships/hyperlink" Target="https://twitter.com/sanchezcastejon/status/1070736196228317184" TargetMode="External"/><Relationship Id="rId2490" Type="http://schemas.openxmlformats.org/officeDocument/2006/relationships/hyperlink" Target="https://m.eldiario.es/politica/Pedro-Sanchez-reforma-Constitucion-igualdad_0_843416144.html" TargetMode="External"/><Relationship Id="rId2588" Type="http://schemas.openxmlformats.org/officeDocument/2006/relationships/hyperlink" Target="https://www.libertaddigital.com/espana/2018-12-06/pedro-sanchez-desconoce-la-constitucion-pide-reformarla-para-incluir-la-igualdad-entre-hombres-y-mujeres-1276629507/" TargetMode="External"/><Relationship Id="rId3127" Type="http://schemas.openxmlformats.org/officeDocument/2006/relationships/hyperlink" Target="https://www.libertaddigital.com/espana/2018-12-06/pedro-sanchez-descarta-elecciones-en-marzo-pero-abre-la-puerta-a-mayo-1276629489/" TargetMode="External"/><Relationship Id="rId3334" Type="http://schemas.openxmlformats.org/officeDocument/2006/relationships/hyperlink" Target="https://blogs.elconfidencial.com/espana/desde-fuera/2018-12-06/elecciones-andalucia-pedro-sanchez-susana-diaz-culpable-hundimiento-titanic-socialista_1688542/?utm_source=twitter&amp;utm_medium=social&amp;utm_campaign=ECDiarioManual" TargetMode="External"/><Relationship Id="rId255" Type="http://schemas.openxmlformats.org/officeDocument/2006/relationships/hyperlink" Target="https://twitter.com/sanchezcastejon/status/1071108859635351552" TargetMode="External"/><Relationship Id="rId462" Type="http://schemas.openxmlformats.org/officeDocument/2006/relationships/hyperlink" Target="https://pbs.twimg.com/media/Dt4nPd_W4AILCzM.jpg" TargetMode="External"/><Relationship Id="rId1092" Type="http://schemas.openxmlformats.org/officeDocument/2006/relationships/hyperlink" Target="https://pbs.twimg.com/media/Dt0dcFvWoAEfpBY.jpg" TargetMode="External"/><Relationship Id="rId1397" Type="http://schemas.openxmlformats.org/officeDocument/2006/relationships/hyperlink" Target="http://ondace.ro/akt3r2" TargetMode="External"/><Relationship Id="rId2143" Type="http://schemas.openxmlformats.org/officeDocument/2006/relationships/hyperlink" Target="http://myanimelist.net/profile/hectorbaiges23" TargetMode="External"/><Relationship Id="rId2350" Type="http://schemas.openxmlformats.org/officeDocument/2006/relationships/hyperlink" Target="https://www.libertaddigital.com/espana/2018-12-06/pedro-sanchez-descarta-elecciones-en-marzo-pero-abre-la-puerta-a-mayo-1276629489/" TargetMode="External"/><Relationship Id="rId2795" Type="http://schemas.openxmlformats.org/officeDocument/2006/relationships/hyperlink" Target="http://bit.ly/ZuscYw" TargetMode="External"/><Relationship Id="rId3401" Type="http://schemas.openxmlformats.org/officeDocument/2006/relationships/hyperlink" Target="http://www.andaluciacentro.com/malaga/campillos/campillos/12784/el-alcalde-de-campillos-pide-una-reunion-urgente-con-pedro-sanchez-por-la-situacion-de-emergencia-del-municipio" TargetMode="External"/><Relationship Id="rId115" Type="http://schemas.openxmlformats.org/officeDocument/2006/relationships/hyperlink" Target="https://www.libertaddigital.com/espana/2018-12-08/pedro-sanchez-dice-que-pp-y-cs-no-pueden-ser-pro-europeos-y-apoyarse-en-vox-1276629582/" TargetMode="External"/><Relationship Id="rId322" Type="http://schemas.openxmlformats.org/officeDocument/2006/relationships/hyperlink" Target="http://wp.me/p76pmQ-rw" TargetMode="External"/><Relationship Id="rId767" Type="http://schemas.openxmlformats.org/officeDocument/2006/relationships/hyperlink" Target="http://ellenguajeysuscompinches.blogspot.com.es/" TargetMode="External"/><Relationship Id="rId974" Type="http://schemas.openxmlformats.org/officeDocument/2006/relationships/hyperlink" Target="http://www.ppvillaverde.es/" TargetMode="External"/><Relationship Id="rId2003" Type="http://schemas.openxmlformats.org/officeDocument/2006/relationships/hyperlink" Target="https://pbs.twimg.com/media/DtwD3bhX4AA_qWG.jpg" TargetMode="External"/><Relationship Id="rId2210" Type="http://schemas.openxmlformats.org/officeDocument/2006/relationships/hyperlink" Target="http://lrzn.es/ktuba2" TargetMode="External"/><Relationship Id="rId2448" Type="http://schemas.openxmlformats.org/officeDocument/2006/relationships/hyperlink" Target="http://bit.ly/2AZ7dJn" TargetMode="External"/><Relationship Id="rId2655" Type="http://schemas.openxmlformats.org/officeDocument/2006/relationships/hyperlink" Target="https://m.eldiario.es/32458250_843416144/" TargetMode="External"/><Relationship Id="rId2862" Type="http://schemas.openxmlformats.org/officeDocument/2006/relationships/hyperlink" Target="http://www.lextres.com/" TargetMode="External"/><Relationship Id="rId627" Type="http://schemas.openxmlformats.org/officeDocument/2006/relationships/hyperlink" Target="https://pbs.twimg.com/media/Dt2lvUjWwAAjXnu.jpg" TargetMode="External"/><Relationship Id="rId834" Type="http://schemas.openxmlformats.org/officeDocument/2006/relationships/hyperlink" Target="https://twitter.com/maria6tata/status/1070960606914756608" TargetMode="External"/><Relationship Id="rId1257" Type="http://schemas.openxmlformats.org/officeDocument/2006/relationships/hyperlink" Target="https://pbs.twimg.com/media/Dt0i7jZW0AA63I-.jpg" TargetMode="External"/><Relationship Id="rId1464" Type="http://schemas.openxmlformats.org/officeDocument/2006/relationships/hyperlink" Target="https://www.tycsports.com/nota/copa-libertadores/2018/12/07/pedro-sanchez-presidente-espanol-estara-en-el-bernabeu.html" TargetMode="External"/><Relationship Id="rId1671" Type="http://schemas.openxmlformats.org/officeDocument/2006/relationships/hyperlink" Target="https://pbs.twimg.com/media/DtzvvzxU4AArBS4.jpg" TargetMode="External"/><Relationship Id="rId2308" Type="http://schemas.openxmlformats.org/officeDocument/2006/relationships/hyperlink" Target="https://okdiario-com.cdn.ampproject.org/v/s/okdiario.com/espana/2018/12/06/otegi-congrega-miles-personas-bilbao-manifestacion-favor-republica-vasca-3435809/amp?amp_js_v=a2&amp;amp_gsa=1" TargetMode="External"/><Relationship Id="rId2515" Type="http://schemas.openxmlformats.org/officeDocument/2006/relationships/hyperlink" Target="http://ddsevilla.info/doqni2" TargetMode="External"/><Relationship Id="rId2722" Type="http://schemas.openxmlformats.org/officeDocument/2006/relationships/hyperlink" Target="http://copiajuridica.es/" TargetMode="External"/><Relationship Id="rId901" Type="http://schemas.openxmlformats.org/officeDocument/2006/relationships/hyperlink" Target="http://eduardovirgala.weebly.com/" TargetMode="External"/><Relationship Id="rId1117" Type="http://schemas.openxmlformats.org/officeDocument/2006/relationships/hyperlink" Target="http://veoinfo.com/" TargetMode="External"/><Relationship Id="rId1324" Type="http://schemas.openxmlformats.org/officeDocument/2006/relationships/hyperlink" Target="http://okdiario.com/" TargetMode="External"/><Relationship Id="rId1531" Type="http://schemas.openxmlformats.org/officeDocument/2006/relationships/hyperlink" Target="https://pbs.twimg.com/media/Dt0DQR5UwAEhaOD.jpg" TargetMode="External"/><Relationship Id="rId1769" Type="http://schemas.openxmlformats.org/officeDocument/2006/relationships/hyperlink" Target="https://www.elespanol.com/espana/20181207/conseller-interior-amenaza-mossos-cdr-gerona-tarrasa/358964307_0.html" TargetMode="External"/><Relationship Id="rId1976" Type="http://schemas.openxmlformats.org/officeDocument/2006/relationships/hyperlink" Target="https://pbs.twimg.com/media/DtzHU3hXgAE0jTe.jpg" TargetMode="External"/><Relationship Id="rId3191" Type="http://schemas.openxmlformats.org/officeDocument/2006/relationships/hyperlink" Target="https://www.youtube.com/channel/UCY60GBj-H8SmayRG1UgDVWw" TargetMode="External"/><Relationship Id="rId30" Type="http://schemas.openxmlformats.org/officeDocument/2006/relationships/hyperlink" Target="http://youtu.be/Q9MfBbVwvpg?a" TargetMode="External"/><Relationship Id="rId1629" Type="http://schemas.openxmlformats.org/officeDocument/2006/relationships/hyperlink" Target="http://elboticario.blogspot.com/" TargetMode="External"/><Relationship Id="rId1836" Type="http://schemas.openxmlformats.org/officeDocument/2006/relationships/hyperlink" Target="https://pbs.twimg.com/media/DtzagBrWoAA3Th6.jpg" TargetMode="External"/><Relationship Id="rId3289" Type="http://schemas.openxmlformats.org/officeDocument/2006/relationships/hyperlink" Target="https://www.elnacional.cat/es/politica/pedro-sanchez-reforma-constitucion_332214_102.html" TargetMode="External"/><Relationship Id="rId1903" Type="http://schemas.openxmlformats.org/officeDocument/2006/relationships/hyperlink" Target="https://www.libremercado.com/2018-12-07/el-populismo-de-pedro-sanchez-se-extiende-al-sector-energetico-1276629287/" TargetMode="External"/><Relationship Id="rId2098" Type="http://schemas.openxmlformats.org/officeDocument/2006/relationships/hyperlink" Target="http://dlvr.it/Qt2Qtk" TargetMode="External"/><Relationship Id="rId3051" Type="http://schemas.openxmlformats.org/officeDocument/2006/relationships/hyperlink" Target="https://www.infolibre.es/noticias/politica/2018/12/06/sanchez_considera_que_irrupcion_vox_no_movera_los_independentistas_aprobar_sus_presupuestos_89618_1012.html?utm_source=twitter.com&amp;utm_medium=smmshare&amp;utm_campaign=noticias&amp;rnot=1016864" TargetMode="External"/><Relationship Id="rId3149" Type="http://schemas.openxmlformats.org/officeDocument/2006/relationships/hyperlink" Target="https://www.eldiario.es/politica/Pedro-Sanchez-posibilidad-elecciones-Seguiremos_0_843416005.html" TargetMode="External"/><Relationship Id="rId3356" Type="http://schemas.openxmlformats.org/officeDocument/2006/relationships/hyperlink" Target="https://www.lasexta.com/noticias/nacional/gritos-de-fuera-fuera-y-abucheos-en-la-llegada-de-pedro-sanchez-al-acto-por-el-40-aniversario-de-la-constitucion-video_201812065c0904bc0cf2d96fe2faa790.html" TargetMode="External"/><Relationship Id="rId277" Type="http://schemas.openxmlformats.org/officeDocument/2006/relationships/hyperlink" Target="https://www.abc.es/espana/catalunya/politica/abci-cortan-ap-7-tarragona-y-producen-algunos-enfretamientos-conductores-afectados-201812081047_noticia.html" TargetMode="External"/><Relationship Id="rId484" Type="http://schemas.openxmlformats.org/officeDocument/2006/relationships/hyperlink" Target="http://www.cope.es/programas/fin-de-semana" TargetMode="External"/><Relationship Id="rId2165" Type="http://schemas.openxmlformats.org/officeDocument/2006/relationships/hyperlink" Target="http://youtu.be/0v4XvZTDqyg?a" TargetMode="External"/><Relationship Id="rId3009" Type="http://schemas.openxmlformats.org/officeDocument/2006/relationships/hyperlink" Target="https://www.abc.es/espana/abci-pedro-sanchez-llega-entre-abucheos-congreso-40-aniversario-constitucion-201812061227_noticia.html" TargetMode="External"/><Relationship Id="rId3216" Type="http://schemas.openxmlformats.org/officeDocument/2006/relationships/hyperlink" Target="http://www.multiforo.eu/" TargetMode="External"/><Relationship Id="rId137" Type="http://schemas.openxmlformats.org/officeDocument/2006/relationships/hyperlink" Target="https://www.20minutos.es/noticia/3511559/0/pedro-sanchez-proeuropeo-apoyarse-fuerzas-antieuropeistas-gobernar/?utm_source=twitter.com&amp;utm_medium=socialshare&amp;utm_campaign=mobile_amp" TargetMode="External"/><Relationship Id="rId344" Type="http://schemas.openxmlformats.org/officeDocument/2006/relationships/hyperlink" Target="http://alfilodelanavajadetaramundi.blogspot.com/" TargetMode="External"/><Relationship Id="rId691" Type="http://schemas.openxmlformats.org/officeDocument/2006/relationships/hyperlink" Target="https://www.facebook.com/100000273284122/posts/2196753943677027/" TargetMode="External"/><Relationship Id="rId789" Type="http://schemas.openxmlformats.org/officeDocument/2006/relationships/hyperlink" Target="https://casoaislado.com/pedro-sanchez-y-zapatero-son-recibidos-entre-pitos-y-abucheos-en-el-congreso-de-los-d/" TargetMode="External"/><Relationship Id="rId996" Type="http://schemas.openxmlformats.org/officeDocument/2006/relationships/hyperlink" Target="https://m.eldiario.es/3245823b_843416123/" TargetMode="External"/><Relationship Id="rId2025" Type="http://schemas.openxmlformats.org/officeDocument/2006/relationships/hyperlink" Target="https://www.youtube.com/channel/UCY60GBj-H8SmayRG1UgDVWw" TargetMode="External"/><Relationship Id="rId2372" Type="http://schemas.openxmlformats.org/officeDocument/2006/relationships/hyperlink" Target="http://www.lasexta.com/" TargetMode="External"/><Relationship Id="rId2677" Type="http://schemas.openxmlformats.org/officeDocument/2006/relationships/hyperlink" Target="http://epmundo.com/2018/descontentos-asi-recibieron-a-pedro-sanchez-en-el-congreso-video/" TargetMode="External"/><Relationship Id="rId2884" Type="http://schemas.openxmlformats.org/officeDocument/2006/relationships/hyperlink" Target="https://twitter.com/lolasegurado/status/1070724104142106624" TargetMode="External"/><Relationship Id="rId3423" Type="http://schemas.openxmlformats.org/officeDocument/2006/relationships/hyperlink" Target="http://bit.ly/2RDMYb5" TargetMode="External"/><Relationship Id="rId551" Type="http://schemas.openxmlformats.org/officeDocument/2006/relationships/hyperlink" Target="http://j.mp/2rpCMY8" TargetMode="External"/><Relationship Id="rId649" Type="http://schemas.openxmlformats.org/officeDocument/2006/relationships/hyperlink" Target="https://twitter.com/Piolinna/status/1071222545523859456" TargetMode="External"/><Relationship Id="rId856" Type="http://schemas.openxmlformats.org/officeDocument/2006/relationships/hyperlink" Target="https://twitter.com/GuajeSalvaje/status/1070788263814852608" TargetMode="External"/><Relationship Id="rId1181" Type="http://schemas.openxmlformats.org/officeDocument/2006/relationships/hyperlink" Target="https://itunes.apple.com/es/book/gettysburg-1863/id665369445?mt=11" TargetMode="External"/><Relationship Id="rId1279" Type="http://schemas.openxmlformats.org/officeDocument/2006/relationships/hyperlink" Target="http://epmundo.com/" TargetMode="External"/><Relationship Id="rId1486" Type="http://schemas.openxmlformats.org/officeDocument/2006/relationships/hyperlink" Target="https://www.facebook.com/story.php?story_fbid=10155607907951199&amp;id=510371198" TargetMode="External"/><Relationship Id="rId2232" Type="http://schemas.openxmlformats.org/officeDocument/2006/relationships/hyperlink" Target="https://www.instagram.com/sevilladecadente" TargetMode="External"/><Relationship Id="rId2537" Type="http://schemas.openxmlformats.org/officeDocument/2006/relationships/hyperlink" Target="http://videos.elmundo.es/v/0_lwslz5du-abucheos-a-pedro-sanchez?uetv_pl=0&amp;count=0" TargetMode="External"/><Relationship Id="rId204" Type="http://schemas.openxmlformats.org/officeDocument/2006/relationships/hyperlink" Target="https://www.eldiario.es/politica/Sanchez-alerta-extrema-derecha-europeas_0_844115822.html" TargetMode="External"/><Relationship Id="rId411" Type="http://schemas.openxmlformats.org/officeDocument/2006/relationships/hyperlink" Target="https://www.libertaddigital.com/espana/2018-12-06/pedro-sanchez-desconoce-la-constitucion-pide-reformarla-para-incluir-la-igualdad-entre-hombres-y-mujeres-1276629507/" TargetMode="External"/><Relationship Id="rId509" Type="http://schemas.openxmlformats.org/officeDocument/2006/relationships/hyperlink" Target="http://pic.twitter.com/FCFmDK2ovf" TargetMode="External"/><Relationship Id="rId1041" Type="http://schemas.openxmlformats.org/officeDocument/2006/relationships/hyperlink" Target="https://www.infobae.com/america/deportes/2018/12/07/el-presidente-espanol-pedro-sanchez-asistira-a-la-final-de-la-copa-libertadores-en-el-santiago-bernabeu/" TargetMode="External"/><Relationship Id="rId1139" Type="http://schemas.openxmlformats.org/officeDocument/2006/relationships/hyperlink" Target="https://www.cope.es/n/306196" TargetMode="External"/><Relationship Id="rId1346" Type="http://schemas.openxmlformats.org/officeDocument/2006/relationships/hyperlink" Target="http://infobae.com/america" TargetMode="External"/><Relationship Id="rId1693" Type="http://schemas.openxmlformats.org/officeDocument/2006/relationships/hyperlink" Target="http://page.is/vh" TargetMode="External"/><Relationship Id="rId1998" Type="http://schemas.openxmlformats.org/officeDocument/2006/relationships/hyperlink" Target="http://dlvr.it/Qt2bSf" TargetMode="External"/><Relationship Id="rId2744" Type="http://schemas.openxmlformats.org/officeDocument/2006/relationships/hyperlink" Target="http://instagram.com/annaprats" TargetMode="External"/><Relationship Id="rId2951" Type="http://schemas.openxmlformats.org/officeDocument/2006/relationships/hyperlink" Target="https://pbs.twimg.com/media/Dtv1VIBWoAA6Qtp.jpg" TargetMode="External"/><Relationship Id="rId716" Type="http://schemas.openxmlformats.org/officeDocument/2006/relationships/hyperlink" Target="https://pbs.twimg.com/media/Dt2XW1jWoAIN2Uj.jpg" TargetMode="External"/><Relationship Id="rId923" Type="http://schemas.openxmlformats.org/officeDocument/2006/relationships/hyperlink" Target="http://es.favstar.fm/users/norcatalan" TargetMode="External"/><Relationship Id="rId1553" Type="http://schemas.openxmlformats.org/officeDocument/2006/relationships/hyperlink" Target="https://www.eldiario.es/politica/Pedro-Sanchez-Casado-Rivera-electoral_0_843416123.html" TargetMode="External"/><Relationship Id="rId1760" Type="http://schemas.openxmlformats.org/officeDocument/2006/relationships/hyperlink" Target="http://epmundo.com/2018/descontentos-asi-recibieron-a-pedro-sanchez-en-el-congreso-video/?utm_source=twitter&amp;utm_medium=social&amp;utm_campaign=ReviveOldPost" TargetMode="External"/><Relationship Id="rId1858" Type="http://schemas.openxmlformats.org/officeDocument/2006/relationships/hyperlink" Target="https://okdiario.com/espana/2018/12/07/pedro-sanchez-reformar-constitucion-incluir-igualdad-hombres-mujeres-articulo-14-desde-hace-40-anos-3437620" TargetMode="External"/><Relationship Id="rId2604" Type="http://schemas.openxmlformats.org/officeDocument/2006/relationships/hyperlink" Target="https://www.libertaddigital.com/espana/2018-12-06/pedro-sanchez-desconoce-la-constitucion-pide-reformarla-para-incluir-la-igualdad-entre-hombres-y-mujeres-1276629507/" TargetMode="External"/><Relationship Id="rId2811" Type="http://schemas.openxmlformats.org/officeDocument/2006/relationships/hyperlink" Target="http://instagram.com/veronotario_" TargetMode="External"/><Relationship Id="rId52" Type="http://schemas.openxmlformats.org/officeDocument/2006/relationships/hyperlink" Target="http://www.psoe.es/actualidad/noticias-actualidad/pedro-sanchez-asegura-que-presentara-unos-pge-con-tres-objetivos-que-sean-sostenibles-desde-el-punto-social-medioambiental-y-financiero/" TargetMode="External"/><Relationship Id="rId1206" Type="http://schemas.openxmlformats.org/officeDocument/2006/relationships/hyperlink" Target="http://www.radiomurcia.es/" TargetMode="External"/><Relationship Id="rId1413" Type="http://schemas.openxmlformats.org/officeDocument/2006/relationships/hyperlink" Target="https://pbs.twimg.com/media/Dt0Pql6V4AAANW-.jpg" TargetMode="External"/><Relationship Id="rId1620" Type="http://schemas.openxmlformats.org/officeDocument/2006/relationships/hyperlink" Target="https://curiouscat.me/zaynspanther" TargetMode="External"/><Relationship Id="rId2909" Type="http://schemas.openxmlformats.org/officeDocument/2006/relationships/hyperlink" Target="http://www.actuall.com/" TargetMode="External"/><Relationship Id="rId3073" Type="http://schemas.openxmlformats.org/officeDocument/2006/relationships/hyperlink" Target="https://www.eldiario.es/_32402aa2" TargetMode="External"/><Relationship Id="rId3280" Type="http://schemas.openxmlformats.org/officeDocument/2006/relationships/hyperlink" Target="http://www.eliceberg.com/" TargetMode="External"/><Relationship Id="rId1718" Type="http://schemas.openxmlformats.org/officeDocument/2006/relationships/hyperlink" Target="https://pbs.twimg.com/media/DtzpkcIW0AElD3U.jpg" TargetMode="External"/><Relationship Id="rId1925" Type="http://schemas.openxmlformats.org/officeDocument/2006/relationships/hyperlink" Target="https://www.noticiasdenavarra.com/2018/12/07/opinion/editorial/el-dilema-de-sanchez" TargetMode="External"/><Relationship Id="rId3140" Type="http://schemas.openxmlformats.org/officeDocument/2006/relationships/hyperlink" Target="https://www.ideal.es/40-aniversario-constitucion/pedro-sanchez-lleva-20181206123919-ntrc.html" TargetMode="External"/><Relationship Id="rId3378" Type="http://schemas.openxmlformats.org/officeDocument/2006/relationships/hyperlink" Target="http://www.zapper.news/" TargetMode="External"/><Relationship Id="rId299" Type="http://schemas.openxmlformats.org/officeDocument/2006/relationships/hyperlink" Target="https://www.elperiodico.com/es/politica/20181208/catalunya-cataluna-quim-torra-mossos-ultimas-noticias-7188784?utm_source=twitter&amp;utm_medium=social" TargetMode="External"/><Relationship Id="rId2187" Type="http://schemas.openxmlformats.org/officeDocument/2006/relationships/hyperlink" Target="https://www.facebook.com/nacionaloficialreydecopas" TargetMode="External"/><Relationship Id="rId2394" Type="http://schemas.openxmlformats.org/officeDocument/2006/relationships/hyperlink" Target="http://ver.20m.es/a7toz2" TargetMode="External"/><Relationship Id="rId3238" Type="http://schemas.openxmlformats.org/officeDocument/2006/relationships/hyperlink" Target="https://www.instagram.com/izzyemilio/" TargetMode="External"/><Relationship Id="rId159" Type="http://schemas.openxmlformats.org/officeDocument/2006/relationships/hyperlink" Target="https://es.wikipedia.org/wiki/Santiago_Casero" TargetMode="External"/><Relationship Id="rId366" Type="http://schemas.openxmlformats.org/officeDocument/2006/relationships/hyperlink" Target="https://www.diariocordoba.com/amp/noticias/espana/sanchez-cree-miedo-vox-beneficiara-generales_1269075.html" TargetMode="External"/><Relationship Id="rId573" Type="http://schemas.openxmlformats.org/officeDocument/2006/relationships/hyperlink" Target="https://www.instagram.com/javiermorenocalvete/" TargetMode="External"/><Relationship Id="rId780" Type="http://schemas.openxmlformats.org/officeDocument/2006/relationships/hyperlink" Target="https://okdiario.com/espana/2018/12/07/pedro-sanchez-reformar-constitucion-incluir-igualdad-hombres-mujeres-articulo-14-desde-hace-40-anos-3437620/amp" TargetMode="External"/><Relationship Id="rId2047" Type="http://schemas.openxmlformats.org/officeDocument/2006/relationships/hyperlink" Target="http://liverdades.com/" TargetMode="External"/><Relationship Id="rId2254" Type="http://schemas.openxmlformats.org/officeDocument/2006/relationships/hyperlink" Target="http://www.abrigo.biz/" TargetMode="External"/><Relationship Id="rId2461" Type="http://schemas.openxmlformats.org/officeDocument/2006/relationships/hyperlink" Target="https://www.libertaddigital.com/espana/2018-12-06/pedro-sanchez-desconoce-la-constitucion-pide-reformarla-para-incluir-la-igualdad-entre-hombres-y-mujeres-1276629507/" TargetMode="External"/><Relationship Id="rId2699" Type="http://schemas.openxmlformats.org/officeDocument/2006/relationships/hyperlink" Target="https://www.eldiario.es/_324581c5" TargetMode="External"/><Relationship Id="rId3000" Type="http://schemas.openxmlformats.org/officeDocument/2006/relationships/hyperlink" Target="http://www.infoheaders.com/" TargetMode="External"/><Relationship Id="rId3305" Type="http://schemas.openxmlformats.org/officeDocument/2006/relationships/hyperlink" Target="https://www.abc.es/espana/abci-arranca-comision-investigara-tesis-pedro-sanchez-201812050400_noticia.html" TargetMode="External"/><Relationship Id="rId226" Type="http://schemas.openxmlformats.org/officeDocument/2006/relationships/hyperlink" Target="http://bit.ly/2B0S6z6" TargetMode="External"/><Relationship Id="rId433" Type="http://schemas.openxmlformats.org/officeDocument/2006/relationships/hyperlink" Target="http://vdoblevdoblevdoble.nosecuantos.es/" TargetMode="External"/><Relationship Id="rId878" Type="http://schemas.openxmlformats.org/officeDocument/2006/relationships/hyperlink" Target="http://antonioperal.blogspot.com/" TargetMode="External"/><Relationship Id="rId1063" Type="http://schemas.openxmlformats.org/officeDocument/2006/relationships/hyperlink" Target="https://pbs.twimg.com/media/Dt1FFnoW0AAT0ES.jpg" TargetMode="External"/><Relationship Id="rId1270" Type="http://schemas.openxmlformats.org/officeDocument/2006/relationships/hyperlink" Target="https://pbs.twimg.com/media/Dt0it6CVYAUMUNn.jpg" TargetMode="External"/><Relationship Id="rId2114" Type="http://schemas.openxmlformats.org/officeDocument/2006/relationships/hyperlink" Target="https://okdiario.com/espana/2018/12/07/pedro-sanchez-reformar-constitucion-incluir-igualdad-hombres-mujeres-articulo-14-desde-hace-40-anos-3437620" TargetMode="External"/><Relationship Id="rId2559" Type="http://schemas.openxmlformats.org/officeDocument/2006/relationships/hyperlink" Target="http://www.libertaddigital.com/" TargetMode="External"/><Relationship Id="rId2766" Type="http://schemas.openxmlformats.org/officeDocument/2006/relationships/hyperlink" Target="https://www.esdiario.com/238196932/El-verdadero-CIS-de-Pedro-Sanchez-otro-espectacular-abucheo-en-el-Congreso.html" TargetMode="External"/><Relationship Id="rId2973" Type="http://schemas.openxmlformats.org/officeDocument/2006/relationships/hyperlink" Target="https://ift.tt/2G3yHmM" TargetMode="External"/><Relationship Id="rId640" Type="http://schemas.openxmlformats.org/officeDocument/2006/relationships/hyperlink" Target="http://bit.ly/2UoMmrB" TargetMode="External"/><Relationship Id="rId738" Type="http://schemas.openxmlformats.org/officeDocument/2006/relationships/hyperlink" Target="https://pbs.twimg.com/media/Dt2PH72XgAAa8LA.jpg" TargetMode="External"/><Relationship Id="rId945" Type="http://schemas.openxmlformats.org/officeDocument/2006/relationships/hyperlink" Target="https://pbs.twimg.com/media/Dt1cS7KW4AEtpnp.jpg" TargetMode="External"/><Relationship Id="rId1368" Type="http://schemas.openxmlformats.org/officeDocument/2006/relationships/hyperlink" Target="https://pbs.twimg.com/media/Dt0VEcTXcAAMtGp.jpg" TargetMode="External"/><Relationship Id="rId1575" Type="http://schemas.openxmlformats.org/officeDocument/2006/relationships/hyperlink" Target="https://www.economiadigital.es/politica-y-sociedad/quim-torra-ayunara-antes-de-la-visita-de-pedro-sanchez-a-barcelona_592919_102.html" TargetMode="External"/><Relationship Id="rId1782" Type="http://schemas.openxmlformats.org/officeDocument/2006/relationships/hyperlink" Target="http://www.tvlinares.com/" TargetMode="External"/><Relationship Id="rId2321" Type="http://schemas.openxmlformats.org/officeDocument/2006/relationships/hyperlink" Target="https://twitter.com/numer344/status/1070803382670114816" TargetMode="External"/><Relationship Id="rId2419" Type="http://schemas.openxmlformats.org/officeDocument/2006/relationships/hyperlink" Target="https://www.libertaddigital.com/espana/2018-12-06/pedro-sanchez-desconoce-la-constitucion-pide-reformarla-para-incluir-la-igualdad-entre-hombres-y-mujeres-1276629507/" TargetMode="External"/><Relationship Id="rId2626" Type="http://schemas.openxmlformats.org/officeDocument/2006/relationships/hyperlink" Target="http://pic.twitter.com/bUCv22X99W" TargetMode="External"/><Relationship Id="rId2833" Type="http://schemas.openxmlformats.org/officeDocument/2006/relationships/hyperlink" Target="http://bit.ly/EP_Venezuela" TargetMode="External"/><Relationship Id="rId74" Type="http://schemas.openxmlformats.org/officeDocument/2006/relationships/hyperlink" Target="https://pbs.twimg.com/media/Dt6A4HOWkAESU6M.jpg" TargetMode="External"/><Relationship Id="rId500" Type="http://schemas.openxmlformats.org/officeDocument/2006/relationships/hyperlink" Target="http://bit.ly/EP_Venezuela" TargetMode="External"/><Relationship Id="rId805" Type="http://schemas.openxmlformats.org/officeDocument/2006/relationships/hyperlink" Target="https://elpais.com/politica/2018/12/06/actualidad/1544108922_690929.html" TargetMode="External"/><Relationship Id="rId1130" Type="http://schemas.openxmlformats.org/officeDocument/2006/relationships/hyperlink" Target="https://elpais.com/elpais/2018/12/01/mas_se_perdio_en_la_habana/1543663515_880538.html?id_externo_rsoc=TW_CC" TargetMode="External"/><Relationship Id="rId1228" Type="http://schemas.openxmlformats.org/officeDocument/2006/relationships/hyperlink" Target="https://pbs.twimg.com/media/DtvSqGMW4AAbn29.jpg" TargetMode="External"/><Relationship Id="rId1435" Type="http://schemas.openxmlformats.org/officeDocument/2006/relationships/hyperlink" Target="https://www.cope.es/n/306196" TargetMode="External"/><Relationship Id="rId1642" Type="http://schemas.openxmlformats.org/officeDocument/2006/relationships/hyperlink" Target="https://voiceofeurope.com/" TargetMode="External"/><Relationship Id="rId1947" Type="http://schemas.openxmlformats.org/officeDocument/2006/relationships/hyperlink" Target="https://www.libertaddigital.com/espana/2018-12-06/pedro-sanchez-desconoce-la-constitucion-pide-reformarla-para-incluir-la-igualdad-entre-hombres-y-mujeres-1276629507/" TargetMode="External"/><Relationship Id="rId2900" Type="http://schemas.openxmlformats.org/officeDocument/2006/relationships/hyperlink" Target="http://www.eldiario.es/" TargetMode="External"/><Relationship Id="rId3095" Type="http://schemas.openxmlformats.org/officeDocument/2006/relationships/hyperlink" Target="http://pic.twitter.com/M6qckkjzts" TargetMode="External"/><Relationship Id="rId1502" Type="http://schemas.openxmlformats.org/officeDocument/2006/relationships/hyperlink" Target="https://www.economiadigital.es/" TargetMode="External"/><Relationship Id="rId1807" Type="http://schemas.openxmlformats.org/officeDocument/2006/relationships/hyperlink" Target="http://www.lextres.com/" TargetMode="External"/><Relationship Id="rId3162" Type="http://schemas.openxmlformats.org/officeDocument/2006/relationships/hyperlink" Target="https://pbs.twimg.com/media/DtvcureVYAAJMbZ.jpg" TargetMode="External"/><Relationship Id="rId290" Type="http://schemas.openxmlformats.org/officeDocument/2006/relationships/hyperlink" Target="https://pbs.twimg.com/media/Dt5Xs6wW0AAi-Ui.jpg" TargetMode="External"/><Relationship Id="rId388" Type="http://schemas.openxmlformats.org/officeDocument/2006/relationships/hyperlink" Target="http://pic.twitter.com/Y0UYSSwVqx" TargetMode="External"/><Relationship Id="rId2069" Type="http://schemas.openxmlformats.org/officeDocument/2006/relationships/hyperlink" Target="http://cronicadigitalcomarcal.blogspot.com/" TargetMode="External"/><Relationship Id="rId3022" Type="http://schemas.openxmlformats.org/officeDocument/2006/relationships/hyperlink" Target="https://www.esdiario.com/452403351/Las-cifras-del-panico-asi-conduce-Pedro-Sanchez-al-precipicio-al-PSOE-.html" TargetMode="External"/><Relationship Id="rId150" Type="http://schemas.openxmlformats.org/officeDocument/2006/relationships/hyperlink" Target="http://pic.twitter.com/Ik4oKNNkBZ" TargetMode="External"/><Relationship Id="rId595" Type="http://schemas.openxmlformats.org/officeDocument/2006/relationships/hyperlink" Target="http://www.europapress.es/" TargetMode="External"/><Relationship Id="rId2276" Type="http://schemas.openxmlformats.org/officeDocument/2006/relationships/hyperlink" Target="http://www.cope.es/" TargetMode="External"/><Relationship Id="rId2483" Type="http://schemas.openxmlformats.org/officeDocument/2006/relationships/hyperlink" Target="https://www.esdiario.com/238196932/El-verdadero-CIS-de-Pedro-Sanchez-otro-espectacular-abucheo-en-el-Congreso.html" TargetMode="External"/><Relationship Id="rId2690" Type="http://schemas.openxmlformats.org/officeDocument/2006/relationships/hyperlink" Target="https://www.instagram.com/p/BrDp3WxA8-9/?utm_source=ig_twitter_share&amp;igshid=cnu18brzg0c1" TargetMode="External"/><Relationship Id="rId3327" Type="http://schemas.openxmlformats.org/officeDocument/2006/relationships/hyperlink" Target="http://a.msn.com/01/es-es/BBQzFAI?ocid=st" TargetMode="External"/><Relationship Id="rId248" Type="http://schemas.openxmlformats.org/officeDocument/2006/relationships/hyperlink" Target="http://epmundo.com/2018/el-bombazo-que-lanzo-pedro-sanchez-sobre-las-elecciones-generales/?utm_source=twitter&amp;utm_medium=social&amp;utm_campaign=ReviveOldPost" TargetMode="External"/><Relationship Id="rId455" Type="http://schemas.openxmlformats.org/officeDocument/2006/relationships/hyperlink" Target="https://pbs.twimg.com/media/Dt4p2qyV4AEwADA.jpg" TargetMode="External"/><Relationship Id="rId662" Type="http://schemas.openxmlformats.org/officeDocument/2006/relationships/hyperlink" Target="https://www.redxcuba.org/" TargetMode="External"/><Relationship Id="rId1085" Type="http://schemas.openxmlformats.org/officeDocument/2006/relationships/hyperlink" Target="https://twitter.com/diostuitero/status/1070703777911631874" TargetMode="External"/><Relationship Id="rId1292" Type="http://schemas.openxmlformats.org/officeDocument/2006/relationships/hyperlink" Target="http://www.cordobatimes.com/" TargetMode="External"/><Relationship Id="rId2136" Type="http://schemas.openxmlformats.org/officeDocument/2006/relationships/hyperlink" Target="http://www.futbolred.com/" TargetMode="External"/><Relationship Id="rId2343" Type="http://schemas.openxmlformats.org/officeDocument/2006/relationships/hyperlink" Target="https://nuevocurso.org/" TargetMode="External"/><Relationship Id="rId2550" Type="http://schemas.openxmlformats.org/officeDocument/2006/relationships/hyperlink" Target="https://goo.gl/WcCPmx" TargetMode="External"/><Relationship Id="rId2788" Type="http://schemas.openxmlformats.org/officeDocument/2006/relationships/hyperlink" Target="http://www.ferrerdesansegundo.com/" TargetMode="External"/><Relationship Id="rId2995" Type="http://schemas.openxmlformats.org/officeDocument/2006/relationships/hyperlink" Target="https://ift.tt/2Un6Hh2" TargetMode="External"/><Relationship Id="rId108" Type="http://schemas.openxmlformats.org/officeDocument/2006/relationships/hyperlink" Target="http://www.multiforo.eu/" TargetMode="External"/><Relationship Id="rId315" Type="http://schemas.openxmlformats.org/officeDocument/2006/relationships/hyperlink" Target="http://smoda.elpais.com/" TargetMode="External"/><Relationship Id="rId522" Type="http://schemas.openxmlformats.org/officeDocument/2006/relationships/hyperlink" Target="http://pic.twitter.com/z9O3FTfNoM" TargetMode="External"/><Relationship Id="rId967" Type="http://schemas.openxmlformats.org/officeDocument/2006/relationships/hyperlink" Target="https://www.youtube.com/JoseManlleu" TargetMode="External"/><Relationship Id="rId1152" Type="http://schemas.openxmlformats.org/officeDocument/2006/relationships/hyperlink" Target="http://epmundo.com/2018/descontentos-asi-recibieron-a-pedro-sanchez-en-el-congreso-video/" TargetMode="External"/><Relationship Id="rId1597" Type="http://schemas.openxmlformats.org/officeDocument/2006/relationships/hyperlink" Target="http://www.citizengo.org/hazteoir/166670-no-expolie-por-segunda-vez-archivo-salamanca?tc=tw&amp;tcid=52566367" TargetMode="External"/><Relationship Id="rId2203" Type="http://schemas.openxmlformats.org/officeDocument/2006/relationships/hyperlink" Target="https://pbs.twimg.com/media/DtvJGiLW0AAhUcI.jpg" TargetMode="External"/><Relationship Id="rId2410" Type="http://schemas.openxmlformats.org/officeDocument/2006/relationships/hyperlink" Target="https://pbs.twimg.com/media/DtwqPSFWkAAZdSp.jpg" TargetMode="External"/><Relationship Id="rId2648" Type="http://schemas.openxmlformats.org/officeDocument/2006/relationships/hyperlink" Target="https://pbs.twimg.com/media/DtwdtlrVYAADIVL.jpg" TargetMode="External"/><Relationship Id="rId2855" Type="http://schemas.openxmlformats.org/officeDocument/2006/relationships/hyperlink" Target="https://pbs.twimg.com/media/DtwEl0AX4AIR1LV.jpg" TargetMode="External"/><Relationship Id="rId96" Type="http://schemas.openxmlformats.org/officeDocument/2006/relationships/hyperlink" Target="https://www.elespanol.com/espana/politica/20181208/errejon-recuperara-bandera-espanola-podemos-francia-envidia/358965067_0.html" TargetMode="External"/><Relationship Id="rId827" Type="http://schemas.openxmlformats.org/officeDocument/2006/relationships/hyperlink" Target="https://elpais.com/politica/2018/12/07/actualidad/1544185491_712670.html" TargetMode="External"/><Relationship Id="rId1012" Type="http://schemas.openxmlformats.org/officeDocument/2006/relationships/hyperlink" Target="http://www.europapress.es/" TargetMode="External"/><Relationship Id="rId1457" Type="http://schemas.openxmlformats.org/officeDocument/2006/relationships/hyperlink" Target="https://www.lavanguardia.com/economia/20181207/453403582708/deficit-gobierno-presupuestos-pedro-sanchez-consejo-de-ministros.html?utm_source=twitter_lv&amp;utm_medium=social" TargetMode="External"/><Relationship Id="rId1664" Type="http://schemas.openxmlformats.org/officeDocument/2006/relationships/hyperlink" Target="http://bit.ly/2E3C3nf" TargetMode="External"/><Relationship Id="rId1871" Type="http://schemas.openxmlformats.org/officeDocument/2006/relationships/hyperlink" Target="http://ccaa.elpais.com/ccaa/madrid.html" TargetMode="External"/><Relationship Id="rId2508" Type="http://schemas.openxmlformats.org/officeDocument/2006/relationships/hyperlink" Target="http://www.diariodecadiz.es/" TargetMode="External"/><Relationship Id="rId2715" Type="http://schemas.openxmlformats.org/officeDocument/2006/relationships/hyperlink" Target="http://www.veoinfo.com/pedro-sanchez-quiere-reformar-la-constitucion-para-incluir-la-igualdad-entre-hombres-y-mujeres/" TargetMode="External"/><Relationship Id="rId2922" Type="http://schemas.openxmlformats.org/officeDocument/2006/relationships/hyperlink" Target="http://bit.ly/2AUPhiV" TargetMode="External"/><Relationship Id="rId1317" Type="http://schemas.openxmlformats.org/officeDocument/2006/relationships/hyperlink" Target="http://www.europapress.es/" TargetMode="External"/><Relationship Id="rId1524" Type="http://schemas.openxmlformats.org/officeDocument/2006/relationships/hyperlink" Target="http://inmoavery.com/" TargetMode="External"/><Relationship Id="rId1731" Type="http://schemas.openxmlformats.org/officeDocument/2006/relationships/hyperlink" Target="http://www.c3c.es/index.htm" TargetMode="External"/><Relationship Id="rId1969" Type="http://schemas.openxmlformats.org/officeDocument/2006/relationships/hyperlink" Target="http://shr.gs/YM6SmPU" TargetMode="External"/><Relationship Id="rId3184" Type="http://schemas.openxmlformats.org/officeDocument/2006/relationships/hyperlink" Target="http://www.kojackadasvarias.blogspot.com/" TargetMode="External"/><Relationship Id="rId23" Type="http://schemas.openxmlformats.org/officeDocument/2006/relationships/hyperlink" Target="https://www.eldiario.es/_32502f6e" TargetMode="External"/><Relationship Id="rId1829" Type="http://schemas.openxmlformats.org/officeDocument/2006/relationships/hyperlink" Target="http://epmundo.com/2018/descontentos-asi-recibieron-a-pedro-sanchez-en-el-congreso-video/" TargetMode="External"/><Relationship Id="rId3391" Type="http://schemas.openxmlformats.org/officeDocument/2006/relationships/hyperlink" Target="http://juliocasarrubios.blogspot.com.es/" TargetMode="External"/><Relationship Id="rId2298" Type="http://schemas.openxmlformats.org/officeDocument/2006/relationships/hyperlink" Target="https://pbs.twimg.com/media/DtxImXJVYAAMLkY.jpg" TargetMode="External"/><Relationship Id="rId3044" Type="http://schemas.openxmlformats.org/officeDocument/2006/relationships/hyperlink" Target="https://pbs.twimg.com/media/DtvpZCdU0AAFA61.jpg" TargetMode="External"/><Relationship Id="rId3251" Type="http://schemas.openxmlformats.org/officeDocument/2006/relationships/hyperlink" Target="http://www.londrestv.com/" TargetMode="External"/><Relationship Id="rId3349" Type="http://schemas.openxmlformats.org/officeDocument/2006/relationships/hyperlink" Target="https://blogs.elconfidencial.com/espana/desde-fuera/2018-12-06/elecciones-andalucia-pedro-sanchez-susana-diaz-culpable-hundimiento-titanic-socialista_1688542/" TargetMode="External"/><Relationship Id="rId172" Type="http://schemas.openxmlformats.org/officeDocument/2006/relationships/hyperlink" Target="http://dlvr.it/Qt7yvj" TargetMode="External"/><Relationship Id="rId477" Type="http://schemas.openxmlformats.org/officeDocument/2006/relationships/hyperlink" Target="https://www.mediterraneodigital.com/espana/espana/ridiculo-apoteosico-pedro-sanchez-pide-reformar-la-constitucion-para-incluir-un-articulo-que-ya-existe.html" TargetMode="External"/><Relationship Id="rId684" Type="http://schemas.openxmlformats.org/officeDocument/2006/relationships/hyperlink" Target="http://magnet.xataka.com/" TargetMode="External"/><Relationship Id="rId2060" Type="http://schemas.openxmlformats.org/officeDocument/2006/relationships/hyperlink" Target="http://pic.twitter.com/poma0PjQyw" TargetMode="External"/><Relationship Id="rId2158" Type="http://schemas.openxmlformats.org/officeDocument/2006/relationships/hyperlink" Target="https://www.publico.es/politica/dia-constitucion-sanchez-asegura-marzo-gobierno-seguira-trabajando-gobernando.html?utm_source=twitter&amp;utm_medium=social&amp;utm_campaign=publico" TargetMode="External"/><Relationship Id="rId2365" Type="http://schemas.openxmlformats.org/officeDocument/2006/relationships/hyperlink" Target="https://pbs.twimg.com/media/DtwrB6yX4AAiixp.jpg" TargetMode="External"/><Relationship Id="rId3111" Type="http://schemas.openxmlformats.org/officeDocument/2006/relationships/hyperlink" Target="http://www.lavanguardia.com/" TargetMode="External"/><Relationship Id="rId3209" Type="http://schemas.openxmlformats.org/officeDocument/2006/relationships/hyperlink" Target="http://blogs.diariovasco.com/eljukebox" TargetMode="External"/><Relationship Id="rId337" Type="http://schemas.openxmlformats.org/officeDocument/2006/relationships/hyperlink" Target="https://www.periodistadigital.com/periodismo/prensa/2018/11/22/alfonso-ussia-borra-sonrisa-egolatra-sanchez-manda-volando-psiquiatrico.shtml" TargetMode="External"/><Relationship Id="rId891" Type="http://schemas.openxmlformats.org/officeDocument/2006/relationships/hyperlink" Target="https://pbs.twimg.com/media/Dt1nJFsW0AAo482.jpg" TargetMode="External"/><Relationship Id="rId989" Type="http://schemas.openxmlformats.org/officeDocument/2006/relationships/hyperlink" Target="https://pbs.twimg.com/media/Dt1S3QEXcAEMjgk.jpg" TargetMode="External"/><Relationship Id="rId2018" Type="http://schemas.openxmlformats.org/officeDocument/2006/relationships/hyperlink" Target="https://www.libremercado.com/2018-12-07/el-populismo-de-pedro-sanchez-se-extiende-al-sector-energetico-1276629287/" TargetMode="External"/><Relationship Id="rId2572" Type="http://schemas.openxmlformats.org/officeDocument/2006/relationships/hyperlink" Target="https://amp.20minutos.es/noticia/3510387/0/abucheos-pedro-sanchez-congreso-aniversario-constitucion/" TargetMode="External"/><Relationship Id="rId2877" Type="http://schemas.openxmlformats.org/officeDocument/2006/relationships/hyperlink" Target="http://pic.twitter.com/mcPah7PDH5" TargetMode="External"/><Relationship Id="rId3416" Type="http://schemas.openxmlformats.org/officeDocument/2006/relationships/hyperlink" Target="https://www.antena3.com/noticias/espana/silbidos-a-la-llegada-de-pedro-sanchez-al-congreso_201812065c090a310cf21af4301c6624.html" TargetMode="External"/><Relationship Id="rId544" Type="http://schemas.openxmlformats.org/officeDocument/2006/relationships/hyperlink" Target="https://www.mediterraneodigital.com/espana/espana/ridiculo-apoteosico-pedro-sanchez-pide-reformar-la-constitucion-para-incluir-un-articulo-que-ya-existe.html" TargetMode="External"/><Relationship Id="rId751" Type="http://schemas.openxmlformats.org/officeDocument/2006/relationships/hyperlink" Target="https://www.cope.es/n/306196" TargetMode="External"/><Relationship Id="rId849" Type="http://schemas.openxmlformats.org/officeDocument/2006/relationships/hyperlink" Target="https://pbs.twimg.com/media/DtwD3bhX4AA_qWG.jpg" TargetMode="External"/><Relationship Id="rId1174" Type="http://schemas.openxmlformats.org/officeDocument/2006/relationships/hyperlink" Target="https://m.eldiario.es/3245823b_843416123/" TargetMode="External"/><Relationship Id="rId1381" Type="http://schemas.openxmlformats.org/officeDocument/2006/relationships/hyperlink" Target="https://www.mediterraneodigital.com/espana/espana/ridiculo-apoteosico-pedro-sanchez-pide-reformar-la-constitucion-para-incluir-un-articulo-que-ya-existe.html" TargetMode="External"/><Relationship Id="rId1479" Type="http://schemas.openxmlformats.org/officeDocument/2006/relationships/hyperlink" Target="https://www.libertaddigital.com/espana/2018-12-06/pedro-sanchez-desconoce-la-constitucion-pide-reformarla-para-incluir-la-igualdad-entre-hombres-y-mujeres-1276629507/" TargetMode="External"/><Relationship Id="rId1686" Type="http://schemas.openxmlformats.org/officeDocument/2006/relationships/hyperlink" Target="https://twitter.com/Bcnisnotcat_/status/1070801745968852992" TargetMode="External"/><Relationship Id="rId2225" Type="http://schemas.openxmlformats.org/officeDocument/2006/relationships/hyperlink" Target="http://epmundo.com/2018/descontentos-asi-recibieron-a-pedro-sanchez-en-el-congreso-video/" TargetMode="External"/><Relationship Id="rId2432" Type="http://schemas.openxmlformats.org/officeDocument/2006/relationships/hyperlink" Target="https://pbs.twimg.com/media/DtwD3bhX4AA_qWG.jpg" TargetMode="External"/><Relationship Id="rId404" Type="http://schemas.openxmlformats.org/officeDocument/2006/relationships/hyperlink" Target="https://okdiario.com/economia/2018/12/08/italia-credibilidad-presupuestos-pedro-sanchez-denunciar-ue-trato-discriminatorio-3437675" TargetMode="External"/><Relationship Id="rId611" Type="http://schemas.openxmlformats.org/officeDocument/2006/relationships/hyperlink" Target="http://www.radiohuancavilca.com.ec/" TargetMode="External"/><Relationship Id="rId1034" Type="http://schemas.openxmlformats.org/officeDocument/2006/relationships/hyperlink" Target="https://okdiario.com/espana/2018/12/03/sanchez-no-acepta-derrota-andalucia-abraza-frente-contra-vox-ofrecido-iglesias-3420979" TargetMode="External"/><Relationship Id="rId1241" Type="http://schemas.openxmlformats.org/officeDocument/2006/relationships/hyperlink" Target="http://abcblogs.abc.es/cervilla/public/post/pedro-sanchez-o-la-maquina-de-crear-votantes-de-vox-18163.asp/" TargetMode="External"/><Relationship Id="rId1339" Type="http://schemas.openxmlformats.org/officeDocument/2006/relationships/hyperlink" Target="http://atres.red/f0lew3" TargetMode="External"/><Relationship Id="rId1893" Type="http://schemas.openxmlformats.org/officeDocument/2006/relationships/hyperlink" Target="http://javiermarcosangulo.blogspot.com.es/" TargetMode="External"/><Relationship Id="rId2737" Type="http://schemas.openxmlformats.org/officeDocument/2006/relationships/hyperlink" Target="https://twitter.com/sanchezcastejon/status/1070736196228317184" TargetMode="External"/><Relationship Id="rId2944" Type="http://schemas.openxmlformats.org/officeDocument/2006/relationships/hyperlink" Target="https://www.elespanol.com/espana/politica/20181206/abucheos-pitos-pedro-sanchez-puertas-congreso/358714535_0.amp.html" TargetMode="External"/><Relationship Id="rId709" Type="http://schemas.openxmlformats.org/officeDocument/2006/relationships/hyperlink" Target="https://www.lainformacion.com/economia-negocios-y-finanzas/laboral/sanchez-decreto-reforma-laboral-empresarios-ceoe/6445847" TargetMode="External"/><Relationship Id="rId916" Type="http://schemas.openxmlformats.org/officeDocument/2006/relationships/hyperlink" Target="http://www.jet-lag.info/" TargetMode="External"/><Relationship Id="rId1101" Type="http://schemas.openxmlformats.org/officeDocument/2006/relationships/hyperlink" Target="http://www.republica.com/" TargetMode="External"/><Relationship Id="rId1546" Type="http://schemas.openxmlformats.org/officeDocument/2006/relationships/hyperlink" Target="https://www.eldiario.es/_3245823b" TargetMode="External"/><Relationship Id="rId1753" Type="http://schemas.openxmlformats.org/officeDocument/2006/relationships/hyperlink" Target="https://pbs.twimg.com/media/DtzkGViW0AA9OsU.jpg" TargetMode="External"/><Relationship Id="rId1960" Type="http://schemas.openxmlformats.org/officeDocument/2006/relationships/hyperlink" Target="https://okdiario.com/espana/2018/12/07/pedro-sanchez-reformar-constitucion-incluir-igualdad-hombres-mujeres-articulo-14-desde-hace-40-anos-3437620" TargetMode="External"/><Relationship Id="rId2804" Type="http://schemas.openxmlformats.org/officeDocument/2006/relationships/hyperlink" Target="https://www.abc.es/internacional/abci-theresa-admite-primera-posibilidad-no-haya-brexit-201812061315_noticia.html" TargetMode="External"/><Relationship Id="rId45" Type="http://schemas.openxmlformats.org/officeDocument/2006/relationships/hyperlink" Target="https://www.lavanguardia.com/politica/20181208/453434819359/pedro-sanchez-llama-socialdemocratas-hacer-mas-extrema-derecha-elecciones-europeas.html?utm_source=twitter_lv&amp;utm_medium=social" TargetMode="External"/><Relationship Id="rId1406" Type="http://schemas.openxmlformats.org/officeDocument/2006/relationships/hyperlink" Target="http://atres.red/h11r32" TargetMode="External"/><Relationship Id="rId1613" Type="http://schemas.openxmlformats.org/officeDocument/2006/relationships/hyperlink" Target="http://www.sajimes.blogspot.com/" TargetMode="External"/><Relationship Id="rId1820" Type="http://schemas.openxmlformats.org/officeDocument/2006/relationships/hyperlink" Target="http://www.linkedin.com/pub/m-dolores-lendinez-ruiz/2/4b1/6a3?_mSplash=1" TargetMode="External"/><Relationship Id="rId3066" Type="http://schemas.openxmlformats.org/officeDocument/2006/relationships/hyperlink" Target="https://twitter.com/cai_nyabel/status/1070047800359088128" TargetMode="External"/><Relationship Id="rId3273" Type="http://schemas.openxmlformats.org/officeDocument/2006/relationships/hyperlink" Target="https://pbs.twimg.com/media/DtvNserW0AEtHU4.jpg" TargetMode="External"/><Relationship Id="rId194" Type="http://schemas.openxmlformats.org/officeDocument/2006/relationships/hyperlink" Target="http://elconfidencial.com/" TargetMode="External"/><Relationship Id="rId1918" Type="http://schemas.openxmlformats.org/officeDocument/2006/relationships/hyperlink" Target="https://twitter.com/sanchezcastejon/status/1070736196228317184" TargetMode="External"/><Relationship Id="rId2082" Type="http://schemas.openxmlformats.org/officeDocument/2006/relationships/hyperlink" Target="http://chng.it/vQjfNMqQ" TargetMode="External"/><Relationship Id="rId3133" Type="http://schemas.openxmlformats.org/officeDocument/2006/relationships/hyperlink" Target="http://dlvr.it/QszXpm" TargetMode="External"/><Relationship Id="rId261" Type="http://schemas.openxmlformats.org/officeDocument/2006/relationships/hyperlink" Target="http://www.sajimes.blogspot.com/" TargetMode="External"/><Relationship Id="rId499" Type="http://schemas.openxmlformats.org/officeDocument/2006/relationships/hyperlink" Target="https://pbs.twimg.com/media/Dt4eoiiVYAAG94j.jpg" TargetMode="External"/><Relationship Id="rId2387" Type="http://schemas.openxmlformats.org/officeDocument/2006/relationships/hyperlink" Target="https://pbs.twimg.com/media/DtwD3bhX4AA_qWG.jpg" TargetMode="External"/><Relationship Id="rId2594" Type="http://schemas.openxmlformats.org/officeDocument/2006/relationships/hyperlink" Target="https://www.libertaddigital.com/espana/2018-12-06/pedro-sanchez-desconoce-la-constitucion-pide-reformarla-para-incluir-la-igualdad-entre-hombres-y-mujeres-1276629507/" TargetMode="External"/><Relationship Id="rId3340" Type="http://schemas.openxmlformats.org/officeDocument/2006/relationships/hyperlink" Target="http://pic.twitter.com/poma0PjQyw" TargetMode="External"/><Relationship Id="rId359" Type="http://schemas.openxmlformats.org/officeDocument/2006/relationships/hyperlink" Target="https://pbs.twimg.com/media/Dt5BbToVsAEyQB_.jpg" TargetMode="External"/><Relationship Id="rId566" Type="http://schemas.openxmlformats.org/officeDocument/2006/relationships/hyperlink" Target="https://okdiario.com/economia/2018/12/08/italia-credibilidad-presupuestos-pedro-sanchez-denunciar-ue-trato-discriminatorio-3437675" TargetMode="External"/><Relationship Id="rId773" Type="http://schemas.openxmlformats.org/officeDocument/2006/relationships/hyperlink" Target="https://pbs.twimg.com/media/Dt2BynJW4AAFlcz.jpg" TargetMode="External"/><Relationship Id="rId1196" Type="http://schemas.openxmlformats.org/officeDocument/2006/relationships/hyperlink" Target="https://pbs.twimg.com/media/Dt0ub_FXgAAw-54.jpg" TargetMode="External"/><Relationship Id="rId2247" Type="http://schemas.openxmlformats.org/officeDocument/2006/relationships/hyperlink" Target="https://pbs.twimg.com/media/DtxUd_3UwAEPeit.jpg" TargetMode="External"/><Relationship Id="rId2454" Type="http://schemas.openxmlformats.org/officeDocument/2006/relationships/hyperlink" Target="http://feedproxy.google.com/~r/libertaddigital/nacional/~3/7wJ1VFudM_s/?utm_source=dlvr.it&amp;utm_medium=twitter" TargetMode="External"/><Relationship Id="rId2899" Type="http://schemas.openxmlformats.org/officeDocument/2006/relationships/hyperlink" Target="https://pbs.twimg.com/media/Dtv1QAQXcAA30IP.jpg" TargetMode="External"/><Relationship Id="rId3200" Type="http://schemas.openxmlformats.org/officeDocument/2006/relationships/hyperlink" Target="http://paper.li/lobo_solito/1343408781" TargetMode="External"/><Relationship Id="rId121" Type="http://schemas.openxmlformats.org/officeDocument/2006/relationships/hyperlink" Target="https://www.20minutos.es/noticia/3511559/0/pedro-sanchez-proeuropeo-apoyarse-fuerzas-antieuropeistas-gobernar/" TargetMode="External"/><Relationship Id="rId219" Type="http://schemas.openxmlformats.org/officeDocument/2006/relationships/hyperlink" Target="http://www.lextres.com/" TargetMode="External"/><Relationship Id="rId426" Type="http://schemas.openxmlformats.org/officeDocument/2006/relationships/hyperlink" Target="http://www.bolsamania.com/" TargetMode="External"/><Relationship Id="rId633" Type="http://schemas.openxmlformats.org/officeDocument/2006/relationships/hyperlink" Target="https://pbs.twimg.com/media/Dt3LC4OWkAAgLST.jpg" TargetMode="External"/><Relationship Id="rId980" Type="http://schemas.openxmlformats.org/officeDocument/2006/relationships/hyperlink" Target="https://twitter.com/alejandroTGN/status/1070717225118638080" TargetMode="External"/><Relationship Id="rId1056" Type="http://schemas.openxmlformats.org/officeDocument/2006/relationships/hyperlink" Target="https://www.cope.es/n/306196" TargetMode="External"/><Relationship Id="rId1263" Type="http://schemas.openxmlformats.org/officeDocument/2006/relationships/hyperlink" Target="https://pbs.twimg.com/media/Dt0daNtX4AIaro2.jpg" TargetMode="External"/><Relationship Id="rId2107" Type="http://schemas.openxmlformats.org/officeDocument/2006/relationships/hyperlink" Target="https://www.eldiario.es/politica/Pedro-Sanchez-Casado-Rivera-electoral_0_843416123.html" TargetMode="External"/><Relationship Id="rId2314" Type="http://schemas.openxmlformats.org/officeDocument/2006/relationships/hyperlink" Target="https://ift.tt/2Ei52o2" TargetMode="External"/><Relationship Id="rId2661" Type="http://schemas.openxmlformats.org/officeDocument/2006/relationships/hyperlink" Target="https://pbs.twimg.com/media/DtwbdYTW0Ac3vKm.jpg" TargetMode="External"/><Relationship Id="rId2759" Type="http://schemas.openxmlformats.org/officeDocument/2006/relationships/hyperlink" Target="https://m.eldiario.es/politica/Pedro-Sanchez-reforma-Constitucion-igualdad_0_843416144.html" TargetMode="External"/><Relationship Id="rId2966" Type="http://schemas.openxmlformats.org/officeDocument/2006/relationships/hyperlink" Target="http://elrincondelalibertad.blogspot.com/" TargetMode="External"/><Relationship Id="rId840" Type="http://schemas.openxmlformats.org/officeDocument/2006/relationships/hyperlink" Target="https://www.mediterraneodigital.com/espana/espana/ridiculo-apoteosico-pedro-sanchez-pide-reformar-la-constitucion-para-incluir-un-articulo-que-ya-existe.html" TargetMode="External"/><Relationship Id="rId938" Type="http://schemas.openxmlformats.org/officeDocument/2006/relationships/hyperlink" Target="https://myuri.co/cjWA9" TargetMode="External"/><Relationship Id="rId1470" Type="http://schemas.openxmlformats.org/officeDocument/2006/relationships/hyperlink" Target="http://ow.ly/p3F930mTUmz" TargetMode="External"/><Relationship Id="rId1568" Type="http://schemas.openxmlformats.org/officeDocument/2006/relationships/hyperlink" Target="http://www.multiforo.eu/Colaboraciones/2018/TratadoDeUtrechDos.htm" TargetMode="External"/><Relationship Id="rId1775" Type="http://schemas.openxmlformats.org/officeDocument/2006/relationships/hyperlink" Target="https://www.facebook.com/sito.urena/posts/2520128681360629" TargetMode="External"/><Relationship Id="rId2521" Type="http://schemas.openxmlformats.org/officeDocument/2006/relationships/hyperlink" Target="https://elpais.com/politica/2018/12/04/actualidad/1543916726_658727.html?id_externo_rsoc=TW_CC" TargetMode="External"/><Relationship Id="rId2619" Type="http://schemas.openxmlformats.org/officeDocument/2006/relationships/hyperlink" Target="https://pbs.twimg.com/media/DtwSOJ6XgAMyBJ3.jpg" TargetMode="External"/><Relationship Id="rId2826" Type="http://schemas.openxmlformats.org/officeDocument/2006/relationships/hyperlink" Target="https://www.20minutos.es/noticia/3510387/0/abucheos-pedro-sanchez-congreso-aniversario-constitucion/?utm_source=twitter.com&amp;utm_medium=socialshare&amp;utm_campaign=mobile_amp" TargetMode="External"/><Relationship Id="rId67" Type="http://schemas.openxmlformats.org/officeDocument/2006/relationships/hyperlink" Target="https://twitter.com/yosoynaranjito_/status/1071351219535396864" TargetMode="External"/><Relationship Id="rId700" Type="http://schemas.openxmlformats.org/officeDocument/2006/relationships/hyperlink" Target="https://www.cope.es/n/306196" TargetMode="External"/><Relationship Id="rId1123" Type="http://schemas.openxmlformats.org/officeDocument/2006/relationships/hyperlink" Target="https://www.cope.es/n/306196" TargetMode="External"/><Relationship Id="rId1330" Type="http://schemas.openxmlformats.org/officeDocument/2006/relationships/hyperlink" Target="https://www.cope.es/n/306196" TargetMode="External"/><Relationship Id="rId1428" Type="http://schemas.openxmlformats.org/officeDocument/2006/relationships/hyperlink" Target="https://pbs.twimg.com/media/Dt0OLVoUwAE6WBM.jpg" TargetMode="External"/><Relationship Id="rId1635" Type="http://schemas.openxmlformats.org/officeDocument/2006/relationships/hyperlink" Target="http://dlvr.it/Qt3H7P" TargetMode="External"/><Relationship Id="rId1982" Type="http://schemas.openxmlformats.org/officeDocument/2006/relationships/hyperlink" Target="https://okdiario.com/espana/2018/12/07/pedro-sanchez-reformar-constitucion-incluir-igualdad-hombres-mujeres-articulo-14-desde-hace-40-anos-3437620" TargetMode="External"/><Relationship Id="rId3088" Type="http://schemas.openxmlformats.org/officeDocument/2006/relationships/hyperlink" Target="http://www.europapress.tv/" TargetMode="External"/><Relationship Id="rId1842" Type="http://schemas.openxmlformats.org/officeDocument/2006/relationships/hyperlink" Target="http://www.telecinco.es/elprogramadeanarosa" TargetMode="External"/><Relationship Id="rId3295" Type="http://schemas.openxmlformats.org/officeDocument/2006/relationships/hyperlink" Target="http://www.eldiario.es/murcia/" TargetMode="External"/><Relationship Id="rId1702" Type="http://schemas.openxmlformats.org/officeDocument/2006/relationships/hyperlink" Target="https://www.eldiestro.es/2018/12/pedro-sanchez-demuestra-ser-un-ignorante-y-un-caradura-en-una-entrevista-concedida-a-el-pais/" TargetMode="External"/><Relationship Id="rId3155" Type="http://schemas.openxmlformats.org/officeDocument/2006/relationships/hyperlink" Target="http://catalananalyst.blogspot.com.es/" TargetMode="External"/><Relationship Id="rId3362" Type="http://schemas.openxmlformats.org/officeDocument/2006/relationships/hyperlink" Target="http://epmundo.com/2018/descontentos-asi-recibieron-a-pedro-sanchez-en-el-congreso-video/" TargetMode="External"/><Relationship Id="rId283" Type="http://schemas.openxmlformats.org/officeDocument/2006/relationships/hyperlink" Target="https://pbs.twimg.com/media/Dt5ZmYIXcAAo8RM.jpg" TargetMode="External"/><Relationship Id="rId490" Type="http://schemas.openxmlformats.org/officeDocument/2006/relationships/hyperlink" Target="https://pbs.twimg.com/media/Dt4g0ewWwAU-aK3.jpg" TargetMode="External"/><Relationship Id="rId2171" Type="http://schemas.openxmlformats.org/officeDocument/2006/relationships/hyperlink" Target="http://go.squidapp.co/n/Et7OZ4L" TargetMode="External"/><Relationship Id="rId3015" Type="http://schemas.openxmlformats.org/officeDocument/2006/relationships/hyperlink" Target="http://epmundo.com/" TargetMode="External"/><Relationship Id="rId3222" Type="http://schemas.openxmlformats.org/officeDocument/2006/relationships/hyperlink" Target="https://elpais.com/politica/2018/12/04/actualidad/1543916726_658727.html?id_externo_rsoc=TW_CC" TargetMode="External"/><Relationship Id="rId143" Type="http://schemas.openxmlformats.org/officeDocument/2006/relationships/hyperlink" Target="https://www.eldiario.es/politica/Sanchez-alerta-extrema-derecha-europeas_0_844115822.html" TargetMode="External"/><Relationship Id="rId350" Type="http://schemas.openxmlformats.org/officeDocument/2006/relationships/hyperlink" Target="http://epmundo.com/2018/el-bombazo-que-lanzo-pedro-sanchez-sobre-las-elecciones-generales/" TargetMode="External"/><Relationship Id="rId588" Type="http://schemas.openxmlformats.org/officeDocument/2006/relationships/hyperlink" Target="http://epmundo.com/" TargetMode="External"/><Relationship Id="rId795" Type="http://schemas.openxmlformats.org/officeDocument/2006/relationships/hyperlink" Target="https://pbs.twimg.com/media/Dt19RmfVsAAK3JB.jpg" TargetMode="External"/><Relationship Id="rId2031" Type="http://schemas.openxmlformats.org/officeDocument/2006/relationships/hyperlink" Target="https://okdiario.com/espana/2018/12/07/pedro-sanchez-reformar-constitucion-incluir-igualdad-hombres-mujeres-articulo-14-desde-hace-40-anos-3437620" TargetMode="External"/><Relationship Id="rId2269" Type="http://schemas.openxmlformats.org/officeDocument/2006/relationships/hyperlink" Target="https://youtu.be/C4hpa5dCKAo" TargetMode="External"/><Relationship Id="rId2476" Type="http://schemas.openxmlformats.org/officeDocument/2006/relationships/hyperlink" Target="https://www.libertaddigital.com/espana/2018-12-06/pedro-sanchez-descarta-elecciones-en-marzo-pero-abre-la-puerta-a-mayo-1276629489/" TargetMode="External"/><Relationship Id="rId2683" Type="http://schemas.openxmlformats.org/officeDocument/2006/relationships/hyperlink" Target="https://carlosbernuylopez.wordpress.com/" TargetMode="External"/><Relationship Id="rId2890" Type="http://schemas.openxmlformats.org/officeDocument/2006/relationships/hyperlink" Target="http://www.jaenparaisointerior.es/" TargetMode="External"/><Relationship Id="rId9" Type="http://schemas.openxmlformats.org/officeDocument/2006/relationships/hyperlink" Target="http://pic.twitter.com/zq4IxlQ7iQ" TargetMode="External"/><Relationship Id="rId210" Type="http://schemas.openxmlformats.org/officeDocument/2006/relationships/hyperlink" Target="https://okdiario.com/espana/cataluna/2018/12/08/sanchez-ofrece-separatistas-reconocer-cataluna-como-nacion-cambio-del-si-presupuestos-3439890/amp" TargetMode="External"/><Relationship Id="rId448" Type="http://schemas.openxmlformats.org/officeDocument/2006/relationships/hyperlink" Target="http://catalunyaencomupodem.cat/" TargetMode="External"/><Relationship Id="rId655" Type="http://schemas.openxmlformats.org/officeDocument/2006/relationships/hyperlink" Target="http://www.dondiario.com/pedro-sanchez-abucheado-en-su-llegada-al-congreso" TargetMode="External"/><Relationship Id="rId862" Type="http://schemas.openxmlformats.org/officeDocument/2006/relationships/hyperlink" Target="https://twitter.com/ciudadanoscs/status/1071088190893649921" TargetMode="External"/><Relationship Id="rId1078" Type="http://schemas.openxmlformats.org/officeDocument/2006/relationships/hyperlink" Target="https://okdiario.com/espana/2018/12/07/pedro-sanchez-reformar-constitucion-incluir-igualdad-hombres-mujeres-articulo-14-desde-hace-40-anos-3437620" TargetMode="External"/><Relationship Id="rId1285" Type="http://schemas.openxmlformats.org/officeDocument/2006/relationships/hyperlink" Target="http://dlvr.it/Qt3ylW" TargetMode="External"/><Relationship Id="rId1492" Type="http://schemas.openxmlformats.org/officeDocument/2006/relationships/hyperlink" Target="http://plus.google.com/106893602023279104248/CARMENSANZDORADO" TargetMode="External"/><Relationship Id="rId2129" Type="http://schemas.openxmlformats.org/officeDocument/2006/relationships/hyperlink" Target="https://www.libertaddigital.com/espana/2018-12-06/pedro-sanchez-desconoce-la-constitucion-pide-reformarla-para-incluir-la-igualdad-entre-hombres-y-mujeres-1276629507/" TargetMode="External"/><Relationship Id="rId2336" Type="http://schemas.openxmlformats.org/officeDocument/2006/relationships/hyperlink" Target="https://www.libertaddigital.com/espana/2018-12-06/pedro-sanchez-desconoce-la-constitucion-pide-reformarla-para-incluir-la-igualdad-entre-hombres-y-mujeres-1276629507/" TargetMode="External"/><Relationship Id="rId2543" Type="http://schemas.openxmlformats.org/officeDocument/2006/relationships/hyperlink" Target="https://pbs.twimg.com/media/DtwoYG7WoAA9Q4o.jpg" TargetMode="External"/><Relationship Id="rId2750" Type="http://schemas.openxmlformats.org/officeDocument/2006/relationships/hyperlink" Target="http://www.farmaciagonzalezvazquez.es/" TargetMode="External"/><Relationship Id="rId2988" Type="http://schemas.openxmlformats.org/officeDocument/2006/relationships/hyperlink" Target="http://bit.ly/2REcoW3" TargetMode="External"/><Relationship Id="rId308" Type="http://schemas.openxmlformats.org/officeDocument/2006/relationships/hyperlink" Target="http://www.comprarpatineteelectrico.online/" TargetMode="External"/><Relationship Id="rId515" Type="http://schemas.openxmlformats.org/officeDocument/2006/relationships/hyperlink" Target="https://okdiario.com/espana/cataluna/2018/12/08/sanchez-ofrece-separatistas-reconocer-cataluna-como-nacion-cambio-del-si-presupuestos-3439890?utm_campaign=inda&amp;utm_medium=Social&amp;utm_source=Twitter" TargetMode="External"/><Relationship Id="rId722" Type="http://schemas.openxmlformats.org/officeDocument/2006/relationships/hyperlink" Target="https://pbs.twimg.com/media/Dt2USlpW0AA75ZD.jpg" TargetMode="External"/><Relationship Id="rId1145" Type="http://schemas.openxmlformats.org/officeDocument/2006/relationships/hyperlink" Target="https://www.cope.es/n/306196" TargetMode="External"/><Relationship Id="rId1352" Type="http://schemas.openxmlformats.org/officeDocument/2006/relationships/hyperlink" Target="http://www.premiumrate.pt/" TargetMode="External"/><Relationship Id="rId1797" Type="http://schemas.openxmlformats.org/officeDocument/2006/relationships/hyperlink" Target="https://www.libremercado.com/2018-12-07/el-populismo-de-pedro-sanchez-se-extiende-al-sector-energetico-1276629287/" TargetMode="External"/><Relationship Id="rId2403" Type="http://schemas.openxmlformats.org/officeDocument/2006/relationships/hyperlink" Target="https://www.libertaddigital.com/espana/2018-12-06/pedro-sanchez-desconoce-la-constitucion-pide-reformarla-para-incluir-la-igualdad-entre-hombres-y-mujeres-1276629507/" TargetMode="External"/><Relationship Id="rId2848" Type="http://schemas.openxmlformats.org/officeDocument/2006/relationships/hyperlink" Target="http://blogs.libertaddigital.com/enigmas-del-11-m/" TargetMode="External"/><Relationship Id="rId89" Type="http://schemas.openxmlformats.org/officeDocument/2006/relationships/hyperlink" Target="https://ift.tt/2rsufUl" TargetMode="External"/><Relationship Id="rId1005" Type="http://schemas.openxmlformats.org/officeDocument/2006/relationships/hyperlink" Target="https://elobrero.es/" TargetMode="External"/><Relationship Id="rId1212" Type="http://schemas.openxmlformats.org/officeDocument/2006/relationships/hyperlink" Target="https://goo.gl/A7rE23" TargetMode="External"/><Relationship Id="rId1657" Type="http://schemas.openxmlformats.org/officeDocument/2006/relationships/hyperlink" Target="http://www.ovb.es/" TargetMode="External"/><Relationship Id="rId1864" Type="http://schemas.openxmlformats.org/officeDocument/2006/relationships/hyperlink" Target="https://www.20minutos.es/noticia/3510387/0/abucheos-pedro-sanchez-congreso-aniversario-constitucion/" TargetMode="External"/><Relationship Id="rId2610" Type="http://schemas.openxmlformats.org/officeDocument/2006/relationships/hyperlink" Target="http://www.lextres.com/" TargetMode="External"/><Relationship Id="rId2708" Type="http://schemas.openxmlformats.org/officeDocument/2006/relationships/hyperlink" Target="http://www.cambio16.com/" TargetMode="External"/><Relationship Id="rId2915" Type="http://schemas.openxmlformats.org/officeDocument/2006/relationships/hyperlink" Target="http://www.lasexta.com/" TargetMode="External"/><Relationship Id="rId1517" Type="http://schemas.openxmlformats.org/officeDocument/2006/relationships/hyperlink" Target="http://bit.ly/EP_Venezuela" TargetMode="External"/><Relationship Id="rId1724" Type="http://schemas.openxmlformats.org/officeDocument/2006/relationships/hyperlink" Target="https://www.libertaddigital.com/espana/politica/2018-12-06/abuheo-general-a-pedro-sanchez-convoca-elecciones-1276629479/" TargetMode="External"/><Relationship Id="rId3177" Type="http://schemas.openxmlformats.org/officeDocument/2006/relationships/hyperlink" Target="http://www.kojackadasvarias.blogspot.com/" TargetMode="External"/><Relationship Id="rId16" Type="http://schemas.openxmlformats.org/officeDocument/2006/relationships/hyperlink" Target="https://www.libremercado.com/2018-12-07/el-populismo-de-pedro-sanchez-se-extiende-al-sector-energetico-1276629287/" TargetMode="External"/><Relationship Id="rId1931" Type="http://schemas.openxmlformats.org/officeDocument/2006/relationships/hyperlink" Target="https://casoaislado.com/la-reina-letizia-esta-harta-de-la-mujer-de-sanchez-begona-gomez-por-su-afan-de-protagonismo/" TargetMode="External"/><Relationship Id="rId3037" Type="http://schemas.openxmlformats.org/officeDocument/2006/relationships/hyperlink" Target="http://elprogreso.galiciae.com/" TargetMode="External"/><Relationship Id="rId3384" Type="http://schemas.openxmlformats.org/officeDocument/2006/relationships/hyperlink" Target="https://laprensareal.wordpress.com/2018/12/06/abucheos-para-pedro-sanchez-y-aplausos-para-la-familia-real-la-llegada-al-congreso-espanol-espana-40anosdeconstitucion-felipevi-pedrosanchez/" TargetMode="External"/><Relationship Id="rId2193" Type="http://schemas.openxmlformats.org/officeDocument/2006/relationships/hyperlink" Target="http://www.sumarium.es/" TargetMode="External"/><Relationship Id="rId2498" Type="http://schemas.openxmlformats.org/officeDocument/2006/relationships/hyperlink" Target="https://pbs.twimg.com/media/Dtws01sWkAENzGQ.jpg" TargetMode="External"/><Relationship Id="rId3244" Type="http://schemas.openxmlformats.org/officeDocument/2006/relationships/hyperlink" Target="http://bit.ly/2rlPYNP" TargetMode="External"/><Relationship Id="rId165" Type="http://schemas.openxmlformats.org/officeDocument/2006/relationships/hyperlink" Target="https://libertadfm.es/2018/12/08/sanchez-alerta-de-la-extrema-derecha-ante-las-europeas-y-pide-hacer-mas/" TargetMode="External"/><Relationship Id="rId372" Type="http://schemas.openxmlformats.org/officeDocument/2006/relationships/hyperlink" Target="https://okdiario.com/espana/2018/12/07/casado-pide-sanchez-que-deje-paz-constitucion-que-esta-cayendo-cataluna-3440919" TargetMode="External"/><Relationship Id="rId677" Type="http://schemas.openxmlformats.org/officeDocument/2006/relationships/hyperlink" Target="https://pbs.twimg.com/media/Dt2pa9lXcAAltzn.jpg" TargetMode="External"/><Relationship Id="rId2053" Type="http://schemas.openxmlformats.org/officeDocument/2006/relationships/hyperlink" Target="https://twitter.com/sanchezcastejon/status/1070736196228317184" TargetMode="External"/><Relationship Id="rId2260" Type="http://schemas.openxmlformats.org/officeDocument/2006/relationships/hyperlink" Target="https://goo.gl/WcCPmx" TargetMode="External"/><Relationship Id="rId2358" Type="http://schemas.openxmlformats.org/officeDocument/2006/relationships/hyperlink" Target="https://casoaislado.com/pedro-sanchez-y-zapatero-son-recibidos-entre-pitos-y-abucheos-en-el-congreso-de-los-d/" TargetMode="External"/><Relationship Id="rId3104" Type="http://schemas.openxmlformats.org/officeDocument/2006/relationships/hyperlink" Target="http://cronicadigitalcomarcal.blogspot.com/" TargetMode="External"/><Relationship Id="rId3311" Type="http://schemas.openxmlformats.org/officeDocument/2006/relationships/hyperlink" Target="http://webtv.7tvregiondemurcia.es/" TargetMode="External"/><Relationship Id="rId232" Type="http://schemas.openxmlformats.org/officeDocument/2006/relationships/hyperlink" Target="http://bajarebooks.org/papyreFB2Select.php?PAPYREID=7027&amp;idinterno=2435" TargetMode="External"/><Relationship Id="rId884" Type="http://schemas.openxmlformats.org/officeDocument/2006/relationships/hyperlink" Target="http://www.promotorajsa.com.mx/" TargetMode="External"/><Relationship Id="rId2120" Type="http://schemas.openxmlformats.org/officeDocument/2006/relationships/hyperlink" Target="http://www.citizengo.org/hazteoir/166670-no-expolie-por-segunda-vez-archivo-salamanca?tc=tw&amp;tcid=52564243" TargetMode="External"/><Relationship Id="rId2565" Type="http://schemas.openxmlformats.org/officeDocument/2006/relationships/hyperlink" Target="https://twitter.com/pablocasado_/status/1070714511362002945" TargetMode="External"/><Relationship Id="rId2772" Type="http://schemas.openxmlformats.org/officeDocument/2006/relationships/hyperlink" Target="https://www.libertaddigital.com/espana/2018-12-05/panico-en-el-psoe-barones-y-alcaldes-piden-elecciones-en-marzo-para-evitar-la-sangria-de-un-superdomingo-1276629445/" TargetMode="External"/><Relationship Id="rId3409" Type="http://schemas.openxmlformats.org/officeDocument/2006/relationships/hyperlink" Target="https://www.20minutos.es/noticia/3510387/0/abucheos-pedro-sanchez-congreso-aniversario-constitucion/?utm_source=twitter.com&amp;utm_medium=socialshare&amp;utm_campaign=desktop" TargetMode="External"/><Relationship Id="rId537" Type="http://schemas.openxmlformats.org/officeDocument/2006/relationships/hyperlink" Target="http://www.derechoyestado.com/" TargetMode="External"/><Relationship Id="rId744" Type="http://schemas.openxmlformats.org/officeDocument/2006/relationships/hyperlink" Target="https://pbs.twimg.com/media/Dt106zkX4AU_HQz.jpg" TargetMode="External"/><Relationship Id="rId951" Type="http://schemas.openxmlformats.org/officeDocument/2006/relationships/hyperlink" Target="http://www.razon.com.mx/" TargetMode="External"/><Relationship Id="rId1167" Type="http://schemas.openxmlformats.org/officeDocument/2006/relationships/hyperlink" Target="https://www.zapper.news/news" TargetMode="External"/><Relationship Id="rId1374" Type="http://schemas.openxmlformats.org/officeDocument/2006/relationships/hyperlink" Target="https://www.cope.es/n/306196" TargetMode="External"/><Relationship Id="rId1581" Type="http://schemas.openxmlformats.org/officeDocument/2006/relationships/hyperlink" Target="https://www.economiadigital.es/politica-y-sociedad/quim-torra-ayunara-antes-de-la-visita-de-pedro-sanchez-a-barcelona_592919_102.html?utm_source=Twitter&amp;utm_medium=Social" TargetMode="External"/><Relationship Id="rId1679" Type="http://schemas.openxmlformats.org/officeDocument/2006/relationships/hyperlink" Target="https://pbs.twimg.com/media/Dtzve9LXcAARTah.jpg" TargetMode="External"/><Relationship Id="rId2218" Type="http://schemas.openxmlformats.org/officeDocument/2006/relationships/hyperlink" Target="http://pic.twitter.com/20yF6WPkHy" TargetMode="External"/><Relationship Id="rId2425" Type="http://schemas.openxmlformats.org/officeDocument/2006/relationships/hyperlink" Target="http://www.esdiario.com/" TargetMode="External"/><Relationship Id="rId2632" Type="http://schemas.openxmlformats.org/officeDocument/2006/relationships/hyperlink" Target="https://www.libertaddigital.com/espana/2018-12-06/pedro-sanchez-desconoce-la-constitucion-pide-reformarla-para-incluir-la-igualdad-entre-hombres-y-mujeres-1276629507/" TargetMode="External"/><Relationship Id="rId80" Type="http://schemas.openxmlformats.org/officeDocument/2006/relationships/hyperlink" Target="https://pbs.twimg.com/media/Dt6AE5QX4AASQKv.jpg" TargetMode="External"/><Relationship Id="rId604" Type="http://schemas.openxmlformats.org/officeDocument/2006/relationships/hyperlink" Target="http://about.me/migueldamiani" TargetMode="External"/><Relationship Id="rId811" Type="http://schemas.openxmlformats.org/officeDocument/2006/relationships/hyperlink" Target="http://pic.twitter.com/FtxUfvuSi8" TargetMode="External"/><Relationship Id="rId1027" Type="http://schemas.openxmlformats.org/officeDocument/2006/relationships/hyperlink" Target="http://primeropolitica.com.ve/" TargetMode="External"/><Relationship Id="rId1234" Type="http://schemas.openxmlformats.org/officeDocument/2006/relationships/hyperlink" Target="https://pbs.twimg.com/media/Dt0nPGYW0AEtGA9.jpg" TargetMode="External"/><Relationship Id="rId1441" Type="http://schemas.openxmlformats.org/officeDocument/2006/relationships/hyperlink" Target="http://www.lextres.com/" TargetMode="External"/><Relationship Id="rId1886" Type="http://schemas.openxmlformats.org/officeDocument/2006/relationships/hyperlink" Target="https://pbs.twimg.com/media/DtzTzriXgAAIUXK.jpg" TargetMode="External"/><Relationship Id="rId2937" Type="http://schemas.openxmlformats.org/officeDocument/2006/relationships/hyperlink" Target="https://pbs.twimg.com/media/Dtv2tXiXgAA6ksx.jpg" TargetMode="External"/><Relationship Id="rId909" Type="http://schemas.openxmlformats.org/officeDocument/2006/relationships/hyperlink" Target="https://blogmiyares.blogspot.com/2018/12/pedro-sanchez-quiere-ganar-tiempo.html?spref=tw" TargetMode="External"/><Relationship Id="rId1301" Type="http://schemas.openxmlformats.org/officeDocument/2006/relationships/hyperlink" Target="http://elquincenaldelospedroches.es/" TargetMode="External"/><Relationship Id="rId1539" Type="http://schemas.openxmlformats.org/officeDocument/2006/relationships/hyperlink" Target="http://okdiario.com/espana/2018/12/07/pedro-sanchez-reformar-constitucion-incluir-igualdad-hombres-mujeres-articulo-14-desde-hace-40-anos-3437620" TargetMode="External"/><Relationship Id="rId1746" Type="http://schemas.openxmlformats.org/officeDocument/2006/relationships/hyperlink" Target="http://videos.elmundo.es/v/0_lwslz5du-abucheos-a-pedro-sanchez" TargetMode="External"/><Relationship Id="rId1953" Type="http://schemas.openxmlformats.org/officeDocument/2006/relationships/hyperlink" Target="http://pasionxespa&#241;a.es/" TargetMode="External"/><Relationship Id="rId3199" Type="http://schemas.openxmlformats.org/officeDocument/2006/relationships/hyperlink" Target="https://ift.tt/2GfaHNN" TargetMode="External"/><Relationship Id="rId38" Type="http://schemas.openxmlformats.org/officeDocument/2006/relationships/hyperlink" Target="http://dlvr.it/Qt8KNX" TargetMode="External"/><Relationship Id="rId1606" Type="http://schemas.openxmlformats.org/officeDocument/2006/relationships/hyperlink" Target="https://okdiario.com/espana/2018/12/07/pedro-sanchez-reformar-constitucion-incluir-igualdad-hombres-mujeres-articulo-14-desde-hace-40-anos-3437620/amp?utm_campaign=ok&amp;utm_medium=Social&amp;utm_source=Twitter&amp;__twitter_impression=true" TargetMode="External"/><Relationship Id="rId1813" Type="http://schemas.openxmlformats.org/officeDocument/2006/relationships/hyperlink" Target="https://www.libertaddigital.com/espana/politica/2015-10-22/el-suegro-de-pedro-sanchez-dueno-de-saunas-gays-en-madrid-1276559702/" TargetMode="External"/><Relationship Id="rId3059" Type="http://schemas.openxmlformats.org/officeDocument/2006/relationships/hyperlink" Target="https://www.20minutos.es/noticia/3510387/0/abucheos-pedro-sanchez-congreso-aniversario-constitucion/?utm_source=twitter.com&amp;utm_medium=socialshare&amp;utm_campaign=mobile_amp" TargetMode="External"/><Relationship Id="rId3266" Type="http://schemas.openxmlformats.org/officeDocument/2006/relationships/hyperlink" Target="http://youtu.be/2hRIGE0NpNo?a" TargetMode="External"/><Relationship Id="rId187" Type="http://schemas.openxmlformats.org/officeDocument/2006/relationships/hyperlink" Target="http://epmundo.com/2018/el-bombazo-que-lanzo-pedro-sanchez-sobre-las-elecciones-generales/?utm_source=twitter&amp;utm_medium=social&amp;utm_campaign=ReviveOldPost" TargetMode="External"/><Relationship Id="rId394" Type="http://schemas.openxmlformats.org/officeDocument/2006/relationships/hyperlink" Target="https://www.elespanol.com/espana/20181208/sanchez-pretende-independentista-historico-consejo-ministros-barcelona/358965156_0.html" TargetMode="External"/><Relationship Id="rId2075" Type="http://schemas.openxmlformats.org/officeDocument/2006/relationships/hyperlink" Target="http://www.firmamentocultural.blogspot.com.es/" TargetMode="External"/><Relationship Id="rId2282" Type="http://schemas.openxmlformats.org/officeDocument/2006/relationships/hyperlink" Target="https://www.eldiario.es/_32458250" TargetMode="External"/><Relationship Id="rId3126" Type="http://schemas.openxmlformats.org/officeDocument/2006/relationships/hyperlink" Target="http://www.convivenciaysolidaridad.blogspot.com/" TargetMode="External"/><Relationship Id="rId254" Type="http://schemas.openxmlformats.org/officeDocument/2006/relationships/hyperlink" Target="https://pbs.twimg.com/media/Dt5fcmsWsAAgKkb.jpg" TargetMode="External"/><Relationship Id="rId699" Type="http://schemas.openxmlformats.org/officeDocument/2006/relationships/hyperlink" Target="https://pbs.twimg.com/media/Dt2fsSdU4AAksiv.jpg" TargetMode="External"/><Relationship Id="rId1091" Type="http://schemas.openxmlformats.org/officeDocument/2006/relationships/hyperlink" Target="http://bit.ly/2UoMmrB" TargetMode="External"/><Relationship Id="rId2587" Type="http://schemas.openxmlformats.org/officeDocument/2006/relationships/hyperlink" Target="http://abcblogs.abc.es/cervilla/public/post/pedro-sanchez-o-la-maquina-de-crear-votantes-de-vox-18163.asp/" TargetMode="External"/><Relationship Id="rId2794" Type="http://schemas.openxmlformats.org/officeDocument/2006/relationships/hyperlink" Target="https://pbs.twimg.com/media/DtwKD0xW4AAW7rM.jpg" TargetMode="External"/><Relationship Id="rId3333" Type="http://schemas.openxmlformats.org/officeDocument/2006/relationships/hyperlink" Target="http://videos.elmundo.es/v/0_lwslz5du-abucheos-a-pedro-sanchez" TargetMode="External"/><Relationship Id="rId114" Type="http://schemas.openxmlformats.org/officeDocument/2006/relationships/hyperlink" Target="http://pic.twitter.com/o8Z2SKww8p" TargetMode="External"/><Relationship Id="rId461" Type="http://schemas.openxmlformats.org/officeDocument/2006/relationships/hyperlink" Target="https://twitter.com/apuntnoticies/status/1071336917537615872" TargetMode="External"/><Relationship Id="rId559" Type="http://schemas.openxmlformats.org/officeDocument/2006/relationships/hyperlink" Target="http://educalengua.wordpress.com/" TargetMode="External"/><Relationship Id="rId766" Type="http://schemas.openxmlformats.org/officeDocument/2006/relationships/hyperlink" Target="http://shr.gs/k83WNfQ" TargetMode="External"/><Relationship Id="rId1189" Type="http://schemas.openxmlformats.org/officeDocument/2006/relationships/hyperlink" Target="https://www.eldiario.es/_3245823b" TargetMode="External"/><Relationship Id="rId1396" Type="http://schemas.openxmlformats.org/officeDocument/2006/relationships/hyperlink" Target="http://epmundo.com/" TargetMode="External"/><Relationship Id="rId2142" Type="http://schemas.openxmlformats.org/officeDocument/2006/relationships/hyperlink" Target="https://pbs.twimg.com/media/DtyXJs1X4AAgzYo.jpg" TargetMode="External"/><Relationship Id="rId2447" Type="http://schemas.openxmlformats.org/officeDocument/2006/relationships/hyperlink" Target="https://nuevocurso.org/" TargetMode="External"/><Relationship Id="rId3400" Type="http://schemas.openxmlformats.org/officeDocument/2006/relationships/hyperlink" Target="http://ask.fm/MarcLLodra" TargetMode="External"/><Relationship Id="rId321" Type="http://schemas.openxmlformats.org/officeDocument/2006/relationships/hyperlink" Target="http://www.efe.com/" TargetMode="External"/><Relationship Id="rId419" Type="http://schemas.openxmlformats.org/officeDocument/2006/relationships/hyperlink" Target="https://bit.ly/2zOGoYl" TargetMode="External"/><Relationship Id="rId626" Type="http://schemas.openxmlformats.org/officeDocument/2006/relationships/hyperlink" Target="http://bit.ly/2rrGQr8" TargetMode="External"/><Relationship Id="rId973" Type="http://schemas.openxmlformats.org/officeDocument/2006/relationships/hyperlink" Target="https://www.cope.es/programas/herrera-en-cope/noticias/herrera-20181207_306196" TargetMode="External"/><Relationship Id="rId1049" Type="http://schemas.openxmlformats.org/officeDocument/2006/relationships/hyperlink" Target="http://epmundo.com/2018/el-bombazo-que-lanzo-pedro-sanchez-sobre-las-elecciones-generales/?utm_source=twitter&amp;utm_medium=social&amp;utm_campaign=ReviveOldPost" TargetMode="External"/><Relationship Id="rId1256" Type="http://schemas.openxmlformats.org/officeDocument/2006/relationships/hyperlink" Target="http://www.congreso.es/portal/page/portal/Congreso/Congreso/SalaPrensa/NotPre?_piref73_7706063_73_1337373_1337373.next_page=/wc/detalleNotaSalaPrensa&amp;idNotaSalaPrensa=31710&amp;anyo=2018&amp;mes=12&amp;pagina=1&amp;mostrarvolver=S&amp;movil=null" TargetMode="External"/><Relationship Id="rId2002" Type="http://schemas.openxmlformats.org/officeDocument/2006/relationships/hyperlink" Target="https://twitter.com/sanchezcastejon/status/1070736196228317184" TargetMode="External"/><Relationship Id="rId2307" Type="http://schemas.openxmlformats.org/officeDocument/2006/relationships/hyperlink" Target="http://www.pedrocastro.es/" TargetMode="External"/><Relationship Id="rId2654" Type="http://schemas.openxmlformats.org/officeDocument/2006/relationships/hyperlink" Target="https://www.clarin.com/opinion/pedro-sanchez-macri-entendemos-bien-alla-diferencias-ideologicas_0_BbMDUR9qx.html" TargetMode="External"/><Relationship Id="rId2861" Type="http://schemas.openxmlformats.org/officeDocument/2006/relationships/hyperlink" Target="https://www.lasprovincias.es/40-aniversario-constitucion/pedro-sanchez-lleva-20181206123919-ntrc.html" TargetMode="External"/><Relationship Id="rId2959" Type="http://schemas.openxmlformats.org/officeDocument/2006/relationships/hyperlink" Target="https://pbs.twimg.com/media/Dtv0YYIUUAAi5KZ.jpg" TargetMode="External"/><Relationship Id="rId833" Type="http://schemas.openxmlformats.org/officeDocument/2006/relationships/hyperlink" Target="http://www.youtube.com/user/TheBarbazul5" TargetMode="External"/><Relationship Id="rId1116" Type="http://schemas.openxmlformats.org/officeDocument/2006/relationships/hyperlink" Target="https://pbs.twimg.com/media/Dt072DHU4AMxkCW.jpg" TargetMode="External"/><Relationship Id="rId1463" Type="http://schemas.openxmlformats.org/officeDocument/2006/relationships/hyperlink" Target="http://decine21.com/blogs/zona-friki" TargetMode="External"/><Relationship Id="rId1670" Type="http://schemas.openxmlformats.org/officeDocument/2006/relationships/hyperlink" Target="http://infolinares.com/" TargetMode="External"/><Relationship Id="rId1768" Type="http://schemas.openxmlformats.org/officeDocument/2006/relationships/hyperlink" Target="https://pbs.twimg.com/media/Dtzkn-4WoAsLNA3.jpg" TargetMode="External"/><Relationship Id="rId2514" Type="http://schemas.openxmlformats.org/officeDocument/2006/relationships/hyperlink" Target="http://www.diariodejerez.es/" TargetMode="External"/><Relationship Id="rId2721" Type="http://schemas.openxmlformats.org/officeDocument/2006/relationships/hyperlink" Target="http://copiajuridica.es/2018/12/06/el-verdadero-cis-de-sanchez-espectacular-abucheo-en-el-congreso-y-aplausos-a-rajoy-y-a-felipe" TargetMode="External"/><Relationship Id="rId2819" Type="http://schemas.openxmlformats.org/officeDocument/2006/relationships/hyperlink" Target="https://www.esdiario.com/238196932/El-verdadero-CIS-de-Pedro-Sanchez-otro-espectacular-abucheo-en-el-Congreso.html" TargetMode="External"/><Relationship Id="rId900" Type="http://schemas.openxmlformats.org/officeDocument/2006/relationships/hyperlink" Target="https://www.mediterraneodigital.com/espana/espana/ridiculo-apoteosico-pedro-sanchez-pide-reformar-la-constitucion-para-incluir-un-articulo-que-ya-existe.html" TargetMode="External"/><Relationship Id="rId1323" Type="http://schemas.openxmlformats.org/officeDocument/2006/relationships/hyperlink" Target="https://okdiario.com/general/2018/12/07/casado-exige-sanchez-frenar-violentos-cdr-otro-155-3439470?utm_campaign=ok&amp;utm_medium=Social&amp;utm_source=Twitter" TargetMode="External"/><Relationship Id="rId1530" Type="http://schemas.openxmlformats.org/officeDocument/2006/relationships/hyperlink" Target="http://dlvr.it/Qt3V0Z" TargetMode="External"/><Relationship Id="rId1628" Type="http://schemas.openxmlformats.org/officeDocument/2006/relationships/hyperlink" Target="https://twitter.com/MaiteBenBen/status/1070959270072594432" TargetMode="External"/><Relationship Id="rId1975" Type="http://schemas.openxmlformats.org/officeDocument/2006/relationships/hyperlink" Target="https://wp.me/p8a6rH-cvM" TargetMode="External"/><Relationship Id="rId3190" Type="http://schemas.openxmlformats.org/officeDocument/2006/relationships/hyperlink" Target="http://j.mp/2RKwKgc" TargetMode="External"/><Relationship Id="rId1835" Type="http://schemas.openxmlformats.org/officeDocument/2006/relationships/hyperlink" Target="https://pbs.twimg.com/media/Dtza1OZUUAEgmTc.jpg" TargetMode="External"/><Relationship Id="rId3050" Type="http://schemas.openxmlformats.org/officeDocument/2006/relationships/hyperlink" Target="https://www.libertaddigital.com/espana/politica/2018-12-06/abuheo-general-a-pedro-sanchez-convoca-elecciones-1276629479/" TargetMode="External"/><Relationship Id="rId3288" Type="http://schemas.openxmlformats.org/officeDocument/2006/relationships/hyperlink" Target="https://www.elconfidencialdigital.com/articulo/politica/pedro-sanchez-ha-anunciado-presentara-presupuestos-enero/20181205172146118999.html" TargetMode="External"/><Relationship Id="rId1902" Type="http://schemas.openxmlformats.org/officeDocument/2006/relationships/hyperlink" Target="https://columnacero.com/espana/18981/abuchean-a-pedro-sanchez-a-su-llegada-al-congreso-en-el-40-aniversario-de-la-con/" TargetMode="External"/><Relationship Id="rId2097" Type="http://schemas.openxmlformats.org/officeDocument/2006/relationships/hyperlink" Target="https://www.ciudadanos-cs.org/" TargetMode="External"/><Relationship Id="rId3148" Type="http://schemas.openxmlformats.org/officeDocument/2006/relationships/hyperlink" Target="https://f7td5.app.goo.gl/3e1Pd" TargetMode="External"/><Relationship Id="rId3355" Type="http://schemas.openxmlformats.org/officeDocument/2006/relationships/hyperlink" Target="http://marianoplanells.blogspot.com.es/" TargetMode="External"/><Relationship Id="rId276" Type="http://schemas.openxmlformats.org/officeDocument/2006/relationships/hyperlink" Target="https://youtu.be/Mjlsmets--0" TargetMode="External"/><Relationship Id="rId483" Type="http://schemas.openxmlformats.org/officeDocument/2006/relationships/hyperlink" Target="https://pbs.twimg.com/media/Dt4hRjnWoAAmgzp.jpg" TargetMode="External"/><Relationship Id="rId690" Type="http://schemas.openxmlformats.org/officeDocument/2006/relationships/hyperlink" Target="https://elpais.com/politica/2018/12/07/actualidad/1544193626_914426.html" TargetMode="External"/><Relationship Id="rId2164" Type="http://schemas.openxmlformats.org/officeDocument/2006/relationships/hyperlink" Target="https://join.skype.com/invite/v2PwAwHO2Ahw" TargetMode="External"/><Relationship Id="rId2371" Type="http://schemas.openxmlformats.org/officeDocument/2006/relationships/hyperlink" Target="http://atres.red/ihgvd17" TargetMode="External"/><Relationship Id="rId3008" Type="http://schemas.openxmlformats.org/officeDocument/2006/relationships/hyperlink" Target="https://ift.tt/2BTgp3o" TargetMode="External"/><Relationship Id="rId3215" Type="http://schemas.openxmlformats.org/officeDocument/2006/relationships/hyperlink" Target="http://www.multiforo.eu/Colaboraciones/2018/TratadoDeUtrechDos.htm" TargetMode="External"/><Relationship Id="rId3422" Type="http://schemas.openxmlformats.org/officeDocument/2006/relationships/hyperlink" Target="http://es-la.facebook.com/cecilio.castro.777" TargetMode="External"/><Relationship Id="rId136" Type="http://schemas.openxmlformats.org/officeDocument/2006/relationships/hyperlink" Target="https://unmillondemanias.blogspot.com/" TargetMode="External"/><Relationship Id="rId343" Type="http://schemas.openxmlformats.org/officeDocument/2006/relationships/hyperlink" Target="https://www.mediterraneodigital.com/espana/espana/ridiculo-apoteosico-pedro-sanchez-pide-reformar-la-constitucion-para-incluir-un-articulo-que-ya-existe.html" TargetMode="External"/><Relationship Id="rId550" Type="http://schemas.openxmlformats.org/officeDocument/2006/relationships/hyperlink" Target="https://es.wikipedia.org/wiki/Isabel_Barreto" TargetMode="External"/><Relationship Id="rId788" Type="http://schemas.openxmlformats.org/officeDocument/2006/relationships/hyperlink" Target="https://www.facebook.com/martin.brunetpuigbo" TargetMode="External"/><Relationship Id="rId995" Type="http://schemas.openxmlformats.org/officeDocument/2006/relationships/hyperlink" Target="https://itunes.apple.com/es/book/gettysburg-1863/id665369445?mt=11" TargetMode="External"/><Relationship Id="rId1180" Type="http://schemas.openxmlformats.org/officeDocument/2006/relationships/hyperlink" Target="https://pbs.twimg.com/media/Dt0w6ySVAAAfSZF.jpg" TargetMode="External"/><Relationship Id="rId2024" Type="http://schemas.openxmlformats.org/officeDocument/2006/relationships/hyperlink" Target="https://www.eldiario.es/_324581c5" TargetMode="External"/><Relationship Id="rId2231" Type="http://schemas.openxmlformats.org/officeDocument/2006/relationships/hyperlink" Target="https://www.esdiario.com/238196932/El-verdadero-CIS-de-Pedro-Sanchez-otro-espectacular-abucheo-en-el-Congreso.html" TargetMode="External"/><Relationship Id="rId2469" Type="http://schemas.openxmlformats.org/officeDocument/2006/relationships/hyperlink" Target="https://elobrero.es/opinion/item/22079-tratado-de-utrecht-dos.html" TargetMode="External"/><Relationship Id="rId2676" Type="http://schemas.openxmlformats.org/officeDocument/2006/relationships/hyperlink" Target="http://www.lasexta.com/" TargetMode="External"/><Relationship Id="rId2883" Type="http://schemas.openxmlformats.org/officeDocument/2006/relationships/hyperlink" Target="https://elpais.com/politica/2018/12/04/actualidad/1543916726_658727.html?id_externo_rsoc=TW_CC" TargetMode="External"/><Relationship Id="rId203" Type="http://schemas.openxmlformats.org/officeDocument/2006/relationships/hyperlink" Target="http://eldiario.es/" TargetMode="External"/><Relationship Id="rId648" Type="http://schemas.openxmlformats.org/officeDocument/2006/relationships/hyperlink" Target="http://tn.com.ar/show" TargetMode="External"/><Relationship Id="rId855" Type="http://schemas.openxmlformats.org/officeDocument/2006/relationships/hyperlink" Target="http://fidelvela.blogspot.com/" TargetMode="External"/><Relationship Id="rId1040" Type="http://schemas.openxmlformats.org/officeDocument/2006/relationships/hyperlink" Target="http://www.linaresdeportivo.es/" TargetMode="External"/><Relationship Id="rId1278" Type="http://schemas.openxmlformats.org/officeDocument/2006/relationships/hyperlink" Target="https://pbs.twimg.com/media/Dt0ieXSWsAAiM36.jpg" TargetMode="External"/><Relationship Id="rId1485" Type="http://schemas.openxmlformats.org/officeDocument/2006/relationships/hyperlink" Target="https://www.eldiestro.es/2018/12/pedro-sanchez-demuestra-ser-un-ignorante-y-un-caradura-en-una-entrevista-concedida-a-el-pais/" TargetMode="External"/><Relationship Id="rId1692" Type="http://schemas.openxmlformats.org/officeDocument/2006/relationships/hyperlink" Target="https://www.mediterraneodigital.com/espana/espana/ridiculo-apoteosico-pedro-sanchez-pide-reformar-la-constitucion-para-incluir-un-articulo-que-ya-existe.html" TargetMode="External"/><Relationship Id="rId2329" Type="http://schemas.openxmlformats.org/officeDocument/2006/relationships/hyperlink" Target="http://www.lavanguardia.com/" TargetMode="External"/><Relationship Id="rId2536" Type="http://schemas.openxmlformats.org/officeDocument/2006/relationships/hyperlink" Target="http://www.york.ac.uk/" TargetMode="External"/><Relationship Id="rId2743" Type="http://schemas.openxmlformats.org/officeDocument/2006/relationships/hyperlink" Target="https://www.eldiario.es/politica/Pedro-Sanchez-reforma-Constitucion-igualdad_0_843416144.html" TargetMode="External"/><Relationship Id="rId410" Type="http://schemas.openxmlformats.org/officeDocument/2006/relationships/hyperlink" Target="http://www.delsolmedina.com/" TargetMode="External"/><Relationship Id="rId508" Type="http://schemas.openxmlformats.org/officeDocument/2006/relationships/hyperlink" Target="https://twitter.com/sanchezcastejon/status/1071108859635351552" TargetMode="External"/><Relationship Id="rId715" Type="http://schemas.openxmlformats.org/officeDocument/2006/relationships/hyperlink" Target="https://www.economiadigital.es/politica-y-sociedad/vox-supera-en-militantes-a-erc-pdecat-y-psc_593024_102.html" TargetMode="External"/><Relationship Id="rId922" Type="http://schemas.openxmlformats.org/officeDocument/2006/relationships/hyperlink" Target="http://derechosocultosespana.blogspot.com.es/2018/05/mientras-no-consigamos-entre-todos-ese.html" TargetMode="External"/><Relationship Id="rId1138" Type="http://schemas.openxmlformats.org/officeDocument/2006/relationships/hyperlink" Target="http://www.elperiodico.com/" TargetMode="External"/><Relationship Id="rId1345" Type="http://schemas.openxmlformats.org/officeDocument/2006/relationships/hyperlink" Target="https://pbs.twimg.com/media/Dt0ZaAZW4AAx0Ne.jpg" TargetMode="External"/><Relationship Id="rId1552" Type="http://schemas.openxmlformats.org/officeDocument/2006/relationships/hyperlink" Target="http://www.ppmadrid.es/" TargetMode="External"/><Relationship Id="rId1997" Type="http://schemas.openxmlformats.org/officeDocument/2006/relationships/hyperlink" Target="http://salmonetesyanonosquedan.blogspot.com/" TargetMode="External"/><Relationship Id="rId2603" Type="http://schemas.openxmlformats.org/officeDocument/2006/relationships/hyperlink" Target="https://amp.20minutos.es/noticia/3510387/0/abucheos-pedro-sanchez-congreso-aniversario-constitucion/" TargetMode="External"/><Relationship Id="rId2950" Type="http://schemas.openxmlformats.org/officeDocument/2006/relationships/hyperlink" Target="http://www.telemadrid.es/emision-en-directo-ondamadrid/" TargetMode="External"/><Relationship Id="rId1205" Type="http://schemas.openxmlformats.org/officeDocument/2006/relationships/hyperlink" Target="http://cadenaser.com/emisora/2018/12/05/radio_murcia/1544017272_619739.html?ssm=tw" TargetMode="External"/><Relationship Id="rId1857" Type="http://schemas.openxmlformats.org/officeDocument/2006/relationships/hyperlink" Target="https://www.libremercado.com/2018-12-07/el-populismo-de-pedro-sanchez-se-extiende-al-sector-energetico-1276629287/" TargetMode="External"/><Relationship Id="rId2810" Type="http://schemas.openxmlformats.org/officeDocument/2006/relationships/hyperlink" Target="http://pic.twitter.com/c9He0WTj75" TargetMode="External"/><Relationship Id="rId2908" Type="http://schemas.openxmlformats.org/officeDocument/2006/relationships/hyperlink" Target="http://ow.ly/jI9m30mNxLC" TargetMode="External"/><Relationship Id="rId51" Type="http://schemas.openxmlformats.org/officeDocument/2006/relationships/hyperlink" Target="https://pbs.twimg.com/media/Dt6DnaJWwAMHVAL.jpg" TargetMode="External"/><Relationship Id="rId1412" Type="http://schemas.openxmlformats.org/officeDocument/2006/relationships/hyperlink" Target="https://thenewsatyourfingertips.wordpress.com/2018/12/07/pedro-sanchez-asistira-a-la-final-en-el-bernabeu-2/" TargetMode="External"/><Relationship Id="rId1717" Type="http://schemas.openxmlformats.org/officeDocument/2006/relationships/hyperlink" Target="http://bit.ly/2Sx3CJn" TargetMode="External"/><Relationship Id="rId1924" Type="http://schemas.openxmlformats.org/officeDocument/2006/relationships/hyperlink" Target="http://larioja.ciudadanos-cs.org/" TargetMode="External"/><Relationship Id="rId3072" Type="http://schemas.openxmlformats.org/officeDocument/2006/relationships/hyperlink" Target="http://www.losreplicantes.com/" TargetMode="External"/><Relationship Id="rId3377" Type="http://schemas.openxmlformats.org/officeDocument/2006/relationships/hyperlink" Target="https://pbs.twimg.com/media/DtvEXAKXgAEHBhz.jpg" TargetMode="External"/><Relationship Id="rId298" Type="http://schemas.openxmlformats.org/officeDocument/2006/relationships/hyperlink" Target="http://www.facebook.com/mimaacordoba" TargetMode="External"/><Relationship Id="rId158" Type="http://schemas.openxmlformats.org/officeDocument/2006/relationships/hyperlink" Target="https://www.esdiario.com/151059239/Pedro-Sanchez-tambien-hara-huelga-de-hambre-en-solidaridad-con-los-presos.html" TargetMode="External"/><Relationship Id="rId2186" Type="http://schemas.openxmlformats.org/officeDocument/2006/relationships/hyperlink" Target="https://www.futbolred.com/futbol-colombiano/liga-aguila/atletico-nacional-es-demandado-por-pagos-por-davinson-sanchez-91080" TargetMode="External"/><Relationship Id="rId2393" Type="http://schemas.openxmlformats.org/officeDocument/2006/relationships/hyperlink" Target="http://20minutos.es/" TargetMode="External"/><Relationship Id="rId2698" Type="http://schemas.openxmlformats.org/officeDocument/2006/relationships/hyperlink" Target="https://www.elconfidencial.com/espana/2018-12-06/pedro-sanchez-adelanto-electoral-marzo-seguiremos-trabajando-gobernando_1690978/" TargetMode="External"/><Relationship Id="rId3237" Type="http://schemas.openxmlformats.org/officeDocument/2006/relationships/hyperlink" Target="https://www.abc.es/espana/abci-pedro-sanchez-llega-entre-abucheos-congreso-40-aniversario-constitucion-201812061227_noticia.html" TargetMode="External"/><Relationship Id="rId365" Type="http://schemas.openxmlformats.org/officeDocument/2006/relationships/hyperlink" Target="https://pbs.twimg.com/media/Dt5AeklXQAARZVH.jpg" TargetMode="External"/><Relationship Id="rId572" Type="http://schemas.openxmlformats.org/officeDocument/2006/relationships/hyperlink" Target="https://pbs.twimg.com/media/Dt4JrK1X4AAbBmq.jpg" TargetMode="External"/><Relationship Id="rId2046" Type="http://schemas.openxmlformats.org/officeDocument/2006/relationships/hyperlink" Target="https://pbs.twimg.com/media/Dty7gDxUUAAitNB.jpg" TargetMode="External"/><Relationship Id="rId2253" Type="http://schemas.openxmlformats.org/officeDocument/2006/relationships/hyperlink" Target="https://www.eldiario.es/_32458250" TargetMode="External"/><Relationship Id="rId2460" Type="http://schemas.openxmlformats.org/officeDocument/2006/relationships/hyperlink" Target="https://www.esdiario.com/238196932/El-verdadero-CIS-de-Pedro-Sanchez-otro-espectacular-abucheo-en-el-Congreso.html" TargetMode="External"/><Relationship Id="rId3304" Type="http://schemas.openxmlformats.org/officeDocument/2006/relationships/hyperlink" Target="http://www.xaviboadavila.com/" TargetMode="External"/><Relationship Id="rId225" Type="http://schemas.openxmlformats.org/officeDocument/2006/relationships/hyperlink" Target="http://bit.ly/EP_Venezuela" TargetMode="External"/><Relationship Id="rId432" Type="http://schemas.openxmlformats.org/officeDocument/2006/relationships/hyperlink" Target="https://www.lavanguardia.com/politica/20181207/453408668752/boca-juniors-river-plate-final-copa-libertadores-pedro-sanchez.html" TargetMode="External"/><Relationship Id="rId877" Type="http://schemas.openxmlformats.org/officeDocument/2006/relationships/hyperlink" Target="https://www.mediterraneodigital.com/espana/espana/ridiculo-apoteosico-pedro-sanchez-pide-reformar-la-constitucion-para-incluir-un-articulo-que-ya-existe.html" TargetMode="External"/><Relationship Id="rId1062" Type="http://schemas.openxmlformats.org/officeDocument/2006/relationships/hyperlink" Target="https://newtral.es/fact-check/pedro-sanchez-la-derecha-europea-se-vanagloria-de-no-pactar-con-la-ultraderecha/" TargetMode="External"/><Relationship Id="rId2113" Type="http://schemas.openxmlformats.org/officeDocument/2006/relationships/hyperlink" Target="https://okdiario.com/espana/2018/12/07/pedro-sanchez-reformar-constitucion-incluir-igualdad-hombres-mujeres-articulo-14-desde-hace-40-anos-3437620" TargetMode="External"/><Relationship Id="rId2320" Type="http://schemas.openxmlformats.org/officeDocument/2006/relationships/hyperlink" Target="http://www.lextres.com/" TargetMode="External"/><Relationship Id="rId2558" Type="http://schemas.openxmlformats.org/officeDocument/2006/relationships/hyperlink" Target="http://www.matrix666.net/" TargetMode="External"/><Relationship Id="rId2765" Type="http://schemas.openxmlformats.org/officeDocument/2006/relationships/hyperlink" Target="https://pbs.twimg.com/media/DtwP62XXcAABLQx.jpg" TargetMode="External"/><Relationship Id="rId2972" Type="http://schemas.openxmlformats.org/officeDocument/2006/relationships/hyperlink" Target="http://www.lasexta.com/" TargetMode="External"/><Relationship Id="rId737" Type="http://schemas.openxmlformats.org/officeDocument/2006/relationships/hyperlink" Target="http://epmundo.com/2018/el-bombazo-que-lanzo-pedro-sanchez-sobre-las-elecciones-generales/" TargetMode="External"/><Relationship Id="rId944" Type="http://schemas.openxmlformats.org/officeDocument/2006/relationships/hyperlink" Target="https://www.huffingtonpost.es/2018/11/28/las-camaras-captan-esta-cara-de-letizia-hablando-con-pedro-sanchez_a_23603805/" TargetMode="External"/><Relationship Id="rId1367" Type="http://schemas.openxmlformats.org/officeDocument/2006/relationships/hyperlink" Target="http://bit.ly/2BXqFYz" TargetMode="External"/><Relationship Id="rId1574" Type="http://schemas.openxmlformats.org/officeDocument/2006/relationships/hyperlink" Target="https://pbs.twimg.com/media/Dtz7z19XcAAtadb.jpg" TargetMode="External"/><Relationship Id="rId1781" Type="http://schemas.openxmlformats.org/officeDocument/2006/relationships/hyperlink" Target="https://pbs.twimg.com/media/DtzjoPqWwAATC8r.jpg" TargetMode="External"/><Relationship Id="rId2418" Type="http://schemas.openxmlformats.org/officeDocument/2006/relationships/hyperlink" Target="https://f7td5.app.goo.gl/zky4s" TargetMode="External"/><Relationship Id="rId2625" Type="http://schemas.openxmlformats.org/officeDocument/2006/relationships/hyperlink" Target="https://twitter.com/Alternativa_VOX/status/1070630967830855680" TargetMode="External"/><Relationship Id="rId2832" Type="http://schemas.openxmlformats.org/officeDocument/2006/relationships/hyperlink" Target="https://pbs.twimg.com/media/DtwHuxbXgAAIKx5.jpg" TargetMode="External"/><Relationship Id="rId73" Type="http://schemas.openxmlformats.org/officeDocument/2006/relationships/hyperlink" Target="http://www.abc.es/" TargetMode="External"/><Relationship Id="rId804" Type="http://schemas.openxmlformats.org/officeDocument/2006/relationships/hyperlink" Target="https://www.vozpopuli.com/_47601af7" TargetMode="External"/><Relationship Id="rId1227" Type="http://schemas.openxmlformats.org/officeDocument/2006/relationships/hyperlink" Target="https://twitter.com/TodoJingles/status/1070680967331880960" TargetMode="External"/><Relationship Id="rId1434" Type="http://schemas.openxmlformats.org/officeDocument/2006/relationships/hyperlink" Target="http://pic.twitter.com/Vn1qoArYre" TargetMode="External"/><Relationship Id="rId1641" Type="http://schemas.openxmlformats.org/officeDocument/2006/relationships/hyperlink" Target="https://goo.gl/fb/ssP6is" TargetMode="External"/><Relationship Id="rId1879" Type="http://schemas.openxmlformats.org/officeDocument/2006/relationships/hyperlink" Target="https://twitter.com/sanchezcastejon/status/1070736196228317184" TargetMode="External"/><Relationship Id="rId3094" Type="http://schemas.openxmlformats.org/officeDocument/2006/relationships/hyperlink" Target="http://www.lextres.com/" TargetMode="External"/><Relationship Id="rId1501" Type="http://schemas.openxmlformats.org/officeDocument/2006/relationships/hyperlink" Target="https://www.economiadigital.es/politica-y-sociedad/ver-en-directo-or-consejo-de-ministros_592892_102.html?utm_source=Twitter&amp;utm_medium=Social" TargetMode="External"/><Relationship Id="rId1739" Type="http://schemas.openxmlformats.org/officeDocument/2006/relationships/hyperlink" Target="https://www.publico.es/politica/detenido-ultra-matanza-abogados-atocha-pedro-sanchez.html" TargetMode="External"/><Relationship Id="rId1946" Type="http://schemas.openxmlformats.org/officeDocument/2006/relationships/hyperlink" Target="https://ift.tt/2PnhuEf" TargetMode="External"/><Relationship Id="rId3399" Type="http://schemas.openxmlformats.org/officeDocument/2006/relationships/hyperlink" Target="http://bit.ly/2GfdV3R" TargetMode="External"/><Relationship Id="rId1806" Type="http://schemas.openxmlformats.org/officeDocument/2006/relationships/hyperlink" Target="https://www.lavanguardia.com/economia/20181207/453403582708/deficit-gobierno-presupuestos-pedro-sanchez-consejo-de-ministros.html?utm_source=twitter_lv&amp;utm_medium=social" TargetMode="External"/><Relationship Id="rId3161" Type="http://schemas.openxmlformats.org/officeDocument/2006/relationships/hyperlink" Target="http://www.veoinfo.com/pedro-sanchez-sobre-la-posibilidad-de-elecciones-en-marzo-seguiremos-trabajando-y-gobernando/" TargetMode="External"/><Relationship Id="rId3259" Type="http://schemas.openxmlformats.org/officeDocument/2006/relationships/hyperlink" Target="https://pbs.twimg.com/media/DtvO74KXQAAEuDW.jpg" TargetMode="External"/><Relationship Id="rId387" Type="http://schemas.openxmlformats.org/officeDocument/2006/relationships/hyperlink" Target="http://telemd.es/w33254" TargetMode="External"/><Relationship Id="rId594" Type="http://schemas.openxmlformats.org/officeDocument/2006/relationships/hyperlink" Target="http://ow.ly/IutK30mUbEe" TargetMode="External"/><Relationship Id="rId2068" Type="http://schemas.openxmlformats.org/officeDocument/2006/relationships/hyperlink" Target="https://pbs.twimg.com/media/Dty3im_WoAAoWAW.jpg" TargetMode="External"/><Relationship Id="rId2275" Type="http://schemas.openxmlformats.org/officeDocument/2006/relationships/hyperlink" Target="http://ww.cope.es/unnth1" TargetMode="External"/><Relationship Id="rId3021" Type="http://schemas.openxmlformats.org/officeDocument/2006/relationships/hyperlink" Target="http://www.lextres.com/" TargetMode="External"/><Relationship Id="rId3119" Type="http://schemas.openxmlformats.org/officeDocument/2006/relationships/hyperlink" Target="https://www.larazon.es/espana/cuarenta-anos-de-progreso-por-pedro-sanchez-FP20854023" TargetMode="External"/><Relationship Id="rId3326" Type="http://schemas.openxmlformats.org/officeDocument/2006/relationships/hyperlink" Target="https://www.elespanol.com/espana/politica/20181206/abucheos-pitos-pedro-sanchez-celebracion/358734126_2.html" TargetMode="External"/><Relationship Id="rId247" Type="http://schemas.openxmlformats.org/officeDocument/2006/relationships/hyperlink" Target="http://www.americahoy.net/" TargetMode="External"/><Relationship Id="rId899" Type="http://schemas.openxmlformats.org/officeDocument/2006/relationships/hyperlink" Target="https://www.cope.es/n/306196" TargetMode="External"/><Relationship Id="rId1084" Type="http://schemas.openxmlformats.org/officeDocument/2006/relationships/hyperlink" Target="https://pbs.twimg.com/media/Dt1Aj9HW0AI3E-v.jpg" TargetMode="External"/><Relationship Id="rId2482" Type="http://schemas.openxmlformats.org/officeDocument/2006/relationships/hyperlink" Target="https://www.elconfidencialdigital.com/articulo/politica/pedro-sanchez-ha-anunciado-presentara-presupuestos-enero/20181205172146118999.html" TargetMode="External"/><Relationship Id="rId2787" Type="http://schemas.openxmlformats.org/officeDocument/2006/relationships/hyperlink" Target="https://okdiario.com/espana/2018/12/06/pedro-sanchez-no-forzara-relevo-susana-diaz-dejara-psoe-andaluz-fulmine-3434507" TargetMode="External"/><Relationship Id="rId107" Type="http://schemas.openxmlformats.org/officeDocument/2006/relationships/hyperlink" Target="https://pbs.twimg.com/media/Dt5sW-_W4AAqcIR.jpg" TargetMode="External"/><Relationship Id="rId454" Type="http://schemas.openxmlformats.org/officeDocument/2006/relationships/hyperlink" Target="http://epmundo.com/2018/el-bombazo-que-lanzo-pedro-sanchez-sobre-las-elecciones-generales/" TargetMode="External"/><Relationship Id="rId661" Type="http://schemas.openxmlformats.org/officeDocument/2006/relationships/hyperlink" Target="http://youtu.be/UqegwAeyJKY?a" TargetMode="External"/><Relationship Id="rId759" Type="http://schemas.openxmlformats.org/officeDocument/2006/relationships/hyperlink" Target="http://www.facebook.com/nnggdistritosalamanca" TargetMode="External"/><Relationship Id="rId966" Type="http://schemas.openxmlformats.org/officeDocument/2006/relationships/hyperlink" Target="http://youtu.be/y1bSyHJoOm8?a" TargetMode="External"/><Relationship Id="rId1291" Type="http://schemas.openxmlformats.org/officeDocument/2006/relationships/hyperlink" Target="https://www.cordobatimes.com/mundo/2018/12/07/el-presidente-espanol-pedro-sanchez-asistira-a-la-final-de-la-copa-libertadores/" TargetMode="External"/><Relationship Id="rId1389" Type="http://schemas.openxmlformats.org/officeDocument/2006/relationships/hyperlink" Target="https://twitter.com/sanchezcastejon/status/1070736196228317184" TargetMode="External"/><Relationship Id="rId1596" Type="http://schemas.openxmlformats.org/officeDocument/2006/relationships/hyperlink" Target="https://www.mediterraneodigital.com/espana/espana/ridiculo-apoteosico-pedro-sanchez-pide-reformar-la-constitucion-para-incluir-un-articulo-que-ya-existe.html" TargetMode="External"/><Relationship Id="rId2135" Type="http://schemas.openxmlformats.org/officeDocument/2006/relationships/hyperlink" Target="https://pbs.twimg.com/media/DtyfIBRW0AA_PdI.jpg" TargetMode="External"/><Relationship Id="rId2342" Type="http://schemas.openxmlformats.org/officeDocument/2006/relationships/hyperlink" Target="http://bit.ly/2AZ7dJn" TargetMode="External"/><Relationship Id="rId2647" Type="http://schemas.openxmlformats.org/officeDocument/2006/relationships/hyperlink" Target="https://www.kevinmcklein.com/abucheos-a-pedro-sanchez-a-su-llegada-al-congreso-y-larga-ovacion-a-los-reyes/" TargetMode="External"/><Relationship Id="rId2994" Type="http://schemas.openxmlformats.org/officeDocument/2006/relationships/hyperlink" Target="https://twitter.com/pacocuenca/status/1070640232708616192" TargetMode="External"/><Relationship Id="rId314" Type="http://schemas.openxmlformats.org/officeDocument/2006/relationships/hyperlink" Target="http://ow.ly/8Rex30mUz2E" TargetMode="External"/><Relationship Id="rId521" Type="http://schemas.openxmlformats.org/officeDocument/2006/relationships/hyperlink" Target="http://telemd.es/iu8fg2" TargetMode="External"/><Relationship Id="rId619" Type="http://schemas.openxmlformats.org/officeDocument/2006/relationships/hyperlink" Target="http://epmundo.com/2018/el-bombazo-que-lanzo-pedro-sanchez-sobre-las-elecciones-generales/?utm_source=twitter&amp;utm_medium=social&amp;utm_campaign=ReviveOldPost" TargetMode="External"/><Relationship Id="rId1151" Type="http://schemas.openxmlformats.org/officeDocument/2006/relationships/hyperlink" Target="http://epmundo.com/" TargetMode="External"/><Relationship Id="rId1249" Type="http://schemas.openxmlformats.org/officeDocument/2006/relationships/hyperlink" Target="https://pbs.twimg.com/media/Dt0k__PWsAA2LJc.jpg" TargetMode="External"/><Relationship Id="rId2202" Type="http://schemas.openxmlformats.org/officeDocument/2006/relationships/hyperlink" Target="http://bit.ly/2Sx3CJn" TargetMode="External"/><Relationship Id="rId2854" Type="http://schemas.openxmlformats.org/officeDocument/2006/relationships/hyperlink" Target="https://www.republica.com/2018/12/06/pedro-sanchez-aleja-la-posibilidad-de-elecciones-en-marzo-seguiremos-gobernando/" TargetMode="External"/><Relationship Id="rId95" Type="http://schemas.openxmlformats.org/officeDocument/2006/relationships/hyperlink" Target="http://castillalamancha.ciudadanos-cs.org/" TargetMode="External"/><Relationship Id="rId826" Type="http://schemas.openxmlformats.org/officeDocument/2006/relationships/hyperlink" Target="https://twitter.com/jfalbertos/status/1071073606619287554" TargetMode="External"/><Relationship Id="rId1011" Type="http://schemas.openxmlformats.org/officeDocument/2006/relationships/hyperlink" Target="https://www.europapress.es/nacional/noticia-pedro-sanchez-ve-necesario-testimonio-victimas-terrorismo-nadie-nunca-cambie-historia-20181207184644.html" TargetMode="External"/><Relationship Id="rId1109" Type="http://schemas.openxmlformats.org/officeDocument/2006/relationships/hyperlink" Target="http://listas.20minutos.es/otros/" TargetMode="External"/><Relationship Id="rId1456" Type="http://schemas.openxmlformats.org/officeDocument/2006/relationships/hyperlink" Target="http://www.revistadeporte.es/" TargetMode="External"/><Relationship Id="rId1663" Type="http://schemas.openxmlformats.org/officeDocument/2006/relationships/hyperlink" Target="http://flavors.me/soulsurfer2013" TargetMode="External"/><Relationship Id="rId1870" Type="http://schemas.openxmlformats.org/officeDocument/2006/relationships/hyperlink" Target="http://ow.ly/BWz130mTJnR" TargetMode="External"/><Relationship Id="rId1968" Type="http://schemas.openxmlformats.org/officeDocument/2006/relationships/hyperlink" Target="http://www.lavozdealmeria.com/" TargetMode="External"/><Relationship Id="rId2507" Type="http://schemas.openxmlformats.org/officeDocument/2006/relationships/hyperlink" Target="https://pbs.twimg.com/media/Dtws0yVWsAAHha8.jpg" TargetMode="External"/><Relationship Id="rId2714" Type="http://schemas.openxmlformats.org/officeDocument/2006/relationships/hyperlink" Target="https://pbs.twimg.com/media/DtwT3raWwAECHW3.jpg" TargetMode="External"/><Relationship Id="rId2921" Type="http://schemas.openxmlformats.org/officeDocument/2006/relationships/hyperlink" Target="http://www.elperiodicodearagon.com/" TargetMode="External"/><Relationship Id="rId1316" Type="http://schemas.openxmlformats.org/officeDocument/2006/relationships/hyperlink" Target="https://www.europapress.es/nacional/noticia-rufian-preguntara-pedro-sanchez-congreso-si-hara-algo-frente-ultraderecha-20181207150646.html" TargetMode="External"/><Relationship Id="rId1523" Type="http://schemas.openxmlformats.org/officeDocument/2006/relationships/hyperlink" Target="http://www.linaresdeporte.es/" TargetMode="External"/><Relationship Id="rId1730" Type="http://schemas.openxmlformats.org/officeDocument/2006/relationships/hyperlink" Target="http://pic.twitter.com/hGPcMT1GhS" TargetMode="External"/><Relationship Id="rId3183" Type="http://schemas.openxmlformats.org/officeDocument/2006/relationships/hyperlink" Target="https://pbs.twimg.com/media/DtvUuX1W0AAjqlN.jpg" TargetMode="External"/><Relationship Id="rId3390" Type="http://schemas.openxmlformats.org/officeDocument/2006/relationships/hyperlink" Target="https://pbs.twimg.com/media/DtvCknaW0AAVMKC.jpg" TargetMode="External"/><Relationship Id="rId22" Type="http://schemas.openxmlformats.org/officeDocument/2006/relationships/hyperlink" Target="http://www.salvadorescalona.es/" TargetMode="External"/><Relationship Id="rId1828" Type="http://schemas.openxmlformats.org/officeDocument/2006/relationships/hyperlink" Target="http://pic.twitter.com/19r8GT4IEI" TargetMode="External"/><Relationship Id="rId3043" Type="http://schemas.openxmlformats.org/officeDocument/2006/relationships/hyperlink" Target="http://dlvr.it/QszlHq" TargetMode="External"/><Relationship Id="rId3250" Type="http://schemas.openxmlformats.org/officeDocument/2006/relationships/hyperlink" Target="https://pbs.twimg.com/media/DtvPsbeXQAUZnZs.jpg" TargetMode="External"/><Relationship Id="rId171" Type="http://schemas.openxmlformats.org/officeDocument/2006/relationships/hyperlink" Target="http://www.aemab.es/" TargetMode="External"/><Relationship Id="rId2297" Type="http://schemas.openxmlformats.org/officeDocument/2006/relationships/hyperlink" Target="http://dlvr.it/Qt1Jv6" TargetMode="External"/><Relationship Id="rId3348" Type="http://schemas.openxmlformats.org/officeDocument/2006/relationships/hyperlink" Target="http://paliagalorente.wix.com/comunicacion" TargetMode="External"/><Relationship Id="rId269" Type="http://schemas.openxmlformats.org/officeDocument/2006/relationships/hyperlink" Target="http://confesionesdeunpipero.wordpress.com/" TargetMode="External"/><Relationship Id="rId476" Type="http://schemas.openxmlformats.org/officeDocument/2006/relationships/hyperlink" Target="https://www.esdiario.com/238196932/El-verdadero-CIS-de-Pedro-Sanchez-otro-espectacular-abucheo-en-el-Congreso.html" TargetMode="External"/><Relationship Id="rId683" Type="http://schemas.openxmlformats.org/officeDocument/2006/relationships/hyperlink" Target="https://magnet.xataka.com/en-diez-minutos/pedro-sanchez-quiere-incluir-igualdad-hombres-mujeres-constitucion-aparece" TargetMode="External"/><Relationship Id="rId890" Type="http://schemas.openxmlformats.org/officeDocument/2006/relationships/hyperlink" Target="http://epmundo.com/2018/el-bombazo-que-lanzo-pedro-sanchez-sobre-las-elecciones-generales/" TargetMode="External"/><Relationship Id="rId2157" Type="http://schemas.openxmlformats.org/officeDocument/2006/relationships/hyperlink" Target="https://www.abc.es/espana/abci-pedro-sanchez-llega-entre-abucheos-congreso-40-aniversario-constitucion-201812061227_noticia.html" TargetMode="External"/><Relationship Id="rId2364" Type="http://schemas.openxmlformats.org/officeDocument/2006/relationships/hyperlink" Target="https://www.eldiario.es/politica/Pedro-Sanchez-Congreso-Dia-Constitucion_0_843415844.html" TargetMode="External"/><Relationship Id="rId2571" Type="http://schemas.openxmlformats.org/officeDocument/2006/relationships/hyperlink" Target="https://pbs.twimg.com/media/Dtv7FQXXgAA1dxH.jpg" TargetMode="External"/><Relationship Id="rId3110" Type="http://schemas.openxmlformats.org/officeDocument/2006/relationships/hyperlink" Target="https://www.lavanguardia.com/politica/20181206/453397537702/pedro-sanchez-elecciones-reunion-quim-torra-21-de-diciembre.html?utm_source=twitter_lv&amp;utm_medium=social" TargetMode="External"/><Relationship Id="rId3208" Type="http://schemas.openxmlformats.org/officeDocument/2006/relationships/hyperlink" Target="https://www.abc.es/espana/abci-pedro-sanchez-llega-entre-abucheos-congreso-40-aniversario-constitucion-" TargetMode="External"/><Relationship Id="rId3415" Type="http://schemas.openxmlformats.org/officeDocument/2006/relationships/hyperlink" Target="https://www.elespanol.com/espana/politica/20181206/abucheos-pitos-pedro-sanchez-puertas-congreso/358714535_0.html" TargetMode="External"/><Relationship Id="rId129" Type="http://schemas.openxmlformats.org/officeDocument/2006/relationships/hyperlink" Target="https://victorarrogante.com/component/k2/item/4198-tratado-de-utrecht-dos.html" TargetMode="External"/><Relationship Id="rId336" Type="http://schemas.openxmlformats.org/officeDocument/2006/relationships/hyperlink" Target="https://m.eldiario.es/zonacritica/izquierda-espanola-irremisiblemente-cuesta-abajo_6_843125725.html" TargetMode="External"/><Relationship Id="rId543" Type="http://schemas.openxmlformats.org/officeDocument/2006/relationships/hyperlink" Target="https://www.esdiario.com/238196932/El-verdadero-CIS-de-Pedro-Sanchez-otro-espectacular-abucheo-en-el-Congreso.html" TargetMode="External"/><Relationship Id="rId988" Type="http://schemas.openxmlformats.org/officeDocument/2006/relationships/hyperlink" Target="http://pic.twitter.com/Oirm2tlno0" TargetMode="External"/><Relationship Id="rId1173" Type="http://schemas.openxmlformats.org/officeDocument/2006/relationships/hyperlink" Target="https://m.eldiario.es/3245823b_843416123/" TargetMode="External"/><Relationship Id="rId1380" Type="http://schemas.openxmlformats.org/officeDocument/2006/relationships/hyperlink" Target="https://www.youtube.com/channel/UCY60GBj-H8SmayRG1UgDVWw" TargetMode="External"/><Relationship Id="rId2017" Type="http://schemas.openxmlformats.org/officeDocument/2006/relationships/hyperlink" Target="https://www.libertaddigital.com/espana/2018-12-06/pedro-sanchez-desconoce-la-constitucion-pide-reformarla-para-incluir-la-igualdad-entre-hombres-y-mujeres-1276629507/" TargetMode="External"/><Relationship Id="rId2224" Type="http://schemas.openxmlformats.org/officeDocument/2006/relationships/hyperlink" Target="https://www.libertaddigital.com/espana/2018-12-06/pedro-sanchez-desconoce-la-constitucion-pide-reformarla-para-incluir-la-igualdad-entre-hombres-y-mujeres-1276629507/" TargetMode="External"/><Relationship Id="rId2669" Type="http://schemas.openxmlformats.org/officeDocument/2006/relationships/hyperlink" Target="https://twitter.com/Murga_67/status/1070751882858115072" TargetMode="External"/><Relationship Id="rId2876" Type="http://schemas.openxmlformats.org/officeDocument/2006/relationships/hyperlink" Target="https://twitter.com/montesinospablo/status/1070632826360479744" TargetMode="External"/><Relationship Id="rId403" Type="http://schemas.openxmlformats.org/officeDocument/2006/relationships/hyperlink" Target="http://eldesmarque.com/coruna" TargetMode="External"/><Relationship Id="rId750" Type="http://schemas.openxmlformats.org/officeDocument/2006/relationships/hyperlink" Target="https://www.libertaddigital.com/espana/2018-12-06/pedro-sanchez-desconoce-la-constitucion-pide-reformarla-para-incluir-la-igualdad-entre-hombres-y-mujeres-1276629507/" TargetMode="External"/><Relationship Id="rId848" Type="http://schemas.openxmlformats.org/officeDocument/2006/relationships/hyperlink" Target="https://twitter.com/sanchezcastejon/status/1070736196228317184" TargetMode="External"/><Relationship Id="rId1033" Type="http://schemas.openxmlformats.org/officeDocument/2006/relationships/hyperlink" Target="https://alquimiacafe.es/" TargetMode="External"/><Relationship Id="rId1478" Type="http://schemas.openxmlformats.org/officeDocument/2006/relationships/hyperlink" Target="https://pbs.twimg.com/media/Dt0KjFiWsAEcOlK.jpg" TargetMode="External"/><Relationship Id="rId1685" Type="http://schemas.openxmlformats.org/officeDocument/2006/relationships/hyperlink" Target="https://www.elconfidencialdigital.com/articulo/politica/pedro-sanchez-amenaza-susana-diaz-repetir-operacion-acabo-tomas-gomez/20181205184900119027.html" TargetMode="External"/><Relationship Id="rId1892" Type="http://schemas.openxmlformats.org/officeDocument/2006/relationships/hyperlink" Target="https://m.eldiario.es/_3245823b" TargetMode="External"/><Relationship Id="rId2431" Type="http://schemas.openxmlformats.org/officeDocument/2006/relationships/hyperlink" Target="https://twitter.com/sanchezcastejon/status/1070736196228317184" TargetMode="External"/><Relationship Id="rId2529" Type="http://schemas.openxmlformats.org/officeDocument/2006/relationships/hyperlink" Target="https://ift.tt/2PnhuEf" TargetMode="External"/><Relationship Id="rId2736" Type="http://schemas.openxmlformats.org/officeDocument/2006/relationships/hyperlink" Target="http://pradoalberdi.wordpress.com/" TargetMode="External"/><Relationship Id="rId610" Type="http://schemas.openxmlformats.org/officeDocument/2006/relationships/hyperlink" Target="https://pbs.twimg.com/media/Dt0dswVW4AY2O_p.jpg" TargetMode="External"/><Relationship Id="rId708" Type="http://schemas.openxmlformats.org/officeDocument/2006/relationships/hyperlink" Target="https://pbs.twimg.com/media/Dt2Z-kNWoAE8zXb.jpg" TargetMode="External"/><Relationship Id="rId915" Type="http://schemas.openxmlformats.org/officeDocument/2006/relationships/hyperlink" Target="https://elpais.com/politica/2018/12/07/actualidad/1544192692_171557.html" TargetMode="External"/><Relationship Id="rId1240" Type="http://schemas.openxmlformats.org/officeDocument/2006/relationships/hyperlink" Target="https://www.mediterraneodigital.com/espana/espana/ridiculo-apoteosico-pedro-sanchez-pide-reformar-la-constitucion-para-incluir-un-articulo-que-ya-existe.html" TargetMode="External"/><Relationship Id="rId1338" Type="http://schemas.openxmlformats.org/officeDocument/2006/relationships/hyperlink" Target="http://infobae.com/" TargetMode="External"/><Relationship Id="rId1545" Type="http://schemas.openxmlformats.org/officeDocument/2006/relationships/hyperlink" Target="https://www.libertaddigital.com/espana/2018-12-06/pedro-sanchez-desconoce-la-constitucion-pide-reformarla-para-incluir-la-igualdad-entre-hombres-y-mujeres-1276629507/" TargetMode="External"/><Relationship Id="rId2943" Type="http://schemas.openxmlformats.org/officeDocument/2006/relationships/hyperlink" Target="https://www.larepublica.cat/villarejo-en-preso-privisional-podria-quedar-en-llibertat-amb-mesures-cautelars/" TargetMode="External"/><Relationship Id="rId1100" Type="http://schemas.openxmlformats.org/officeDocument/2006/relationships/hyperlink" Target="https://pbs.twimg.com/media/Dt0-mdnWkAEiod-.jpg" TargetMode="External"/><Relationship Id="rId1405" Type="http://schemas.openxmlformats.org/officeDocument/2006/relationships/hyperlink" Target="http://debaterm.com/ultima-hora" TargetMode="External"/><Relationship Id="rId1752" Type="http://schemas.openxmlformats.org/officeDocument/2006/relationships/hyperlink" Target="https://www.eldiario.es/politica/Pedro-Sanchez-Casado-Rivera-electoral_0_843416123.html" TargetMode="External"/><Relationship Id="rId2803" Type="http://schemas.openxmlformats.org/officeDocument/2006/relationships/hyperlink" Target="https://pbs.twimg.com/media/DtwD3bhX4AA_qWG.jpg" TargetMode="External"/><Relationship Id="rId44" Type="http://schemas.openxmlformats.org/officeDocument/2006/relationships/hyperlink" Target="https://www.abc.es/espana/abci-pedro-sanchez-alerta-auge-extrema-derecha-europa-201812081647_noticia.html" TargetMode="External"/><Relationship Id="rId1612" Type="http://schemas.openxmlformats.org/officeDocument/2006/relationships/hyperlink" Target="https://www.libertaddigital.com/espana/2018-12-06/pedro-sanchez-desconoce-la-constitucion-pide-reformarla-para-incluir-la-igualdad-entre-hombres-y-mujeres-1276629507/" TargetMode="External"/><Relationship Id="rId1917" Type="http://schemas.openxmlformats.org/officeDocument/2006/relationships/hyperlink" Target="http://okdiario.com/espana/2018/12/07/pedro-sanchez-reformar-constitucion-incluir-igualdad-hombres-mujeres-articulo-14-desde-hace-40-anos-3437620" TargetMode="External"/><Relationship Id="rId3065" Type="http://schemas.openxmlformats.org/officeDocument/2006/relationships/hyperlink" Target="http://www.sumarium.es/" TargetMode="External"/><Relationship Id="rId3272" Type="http://schemas.openxmlformats.org/officeDocument/2006/relationships/hyperlink" Target="https://www.eldiario.es/_32402c52" TargetMode="External"/><Relationship Id="rId193" Type="http://schemas.openxmlformats.org/officeDocument/2006/relationships/hyperlink" Target="https://www.elconfidencial.com/espana/2018-12-08/pedro-sanchez-lisboa-congreso-pes-antonio-costa-hacer-mucho-mas-ultraderecha_1693226/" TargetMode="External"/><Relationship Id="rId498" Type="http://schemas.openxmlformats.org/officeDocument/2006/relationships/hyperlink" Target="http://epmundo.com/2018/el-bombazo-que-lanzo-pedro-sanchez-sobre-las-elecciones-generales/" TargetMode="External"/><Relationship Id="rId2081" Type="http://schemas.openxmlformats.org/officeDocument/2006/relationships/hyperlink" Target="https://www.libertaddigital.com/espana/2018-12-06/pedro-sanchez-desconoce-la-constitucion-pide-reformarla-para-incluir-la-igualdad-entre-hombres-y-mujeres-1276629507/amp.html?__twitter_impression=true" TargetMode="External"/><Relationship Id="rId2179" Type="http://schemas.openxmlformats.org/officeDocument/2006/relationships/hyperlink" Target="http://epmundo.com/" TargetMode="External"/><Relationship Id="rId3132" Type="http://schemas.openxmlformats.org/officeDocument/2006/relationships/hyperlink" Target="https://www.youtube.com/channel/UCl-_iYBzcBZvjEoHp81MlUg" TargetMode="External"/><Relationship Id="rId260" Type="http://schemas.openxmlformats.org/officeDocument/2006/relationships/hyperlink" Target="https://okdiario.com/economia/2018/12/08/italia-credibilidad-presupuestos-pedro-sanchez-denunciar-ue-trato-discriminatorio-3437675" TargetMode="External"/><Relationship Id="rId2386" Type="http://schemas.openxmlformats.org/officeDocument/2006/relationships/hyperlink" Target="https://twitter.com/sanchezcastejon/status/1070736196228317184" TargetMode="External"/><Relationship Id="rId2593" Type="http://schemas.openxmlformats.org/officeDocument/2006/relationships/hyperlink" Target="https://www.libertaddigital.com/espana/2018-12-06/pedro-sanchez-desconoce-la-constitucion-pide-reformarla-para-incluir-la-igualdad-entre-hombres-y-mujeres-1276629507/" TargetMode="External"/><Relationship Id="rId120" Type="http://schemas.openxmlformats.org/officeDocument/2006/relationships/hyperlink" Target="https://www.lainformacion.com/espana/cis-diciembre-psoe-ganaria-elecciones/6455156?utm_source=facebook.com&amp;utm_medium=socialshare&amp;utm_campaign=mobile_web" TargetMode="External"/><Relationship Id="rId358" Type="http://schemas.openxmlformats.org/officeDocument/2006/relationships/hyperlink" Target="https://blogs.elconfidencial.com/mundo/tribuna-internacional/2018-12-05/que-hay-detras-acuerdo-pedro-sanchez-xi-jinping_1683722/?utm_campaign=BotoneraWebapp&amp;utm_source=twitter&amp;utm_medium=social" TargetMode="External"/><Relationship Id="rId565" Type="http://schemas.openxmlformats.org/officeDocument/2006/relationships/hyperlink" Target="http://chng.it/JLgfNfHd" TargetMode="External"/><Relationship Id="rId772" Type="http://schemas.openxmlformats.org/officeDocument/2006/relationships/hyperlink" Target="https://www.elconfidencialdigital.com/articulo/politica/miedo-vox-abre-puerta-independentistas-apoyen-presupuestos-pedro-sanchez/20181203190635118921.html" TargetMode="External"/><Relationship Id="rId1195" Type="http://schemas.openxmlformats.org/officeDocument/2006/relationships/hyperlink" Target="https://www.europapress.es/nacional/noticia-pedro-sanchez-hara-balance-dia-28-ultima-reunion-ano-consejo-ministros-20181207160801.html" TargetMode="External"/><Relationship Id="rId2039" Type="http://schemas.openxmlformats.org/officeDocument/2006/relationships/hyperlink" Target="http://www.esdiario.com/" TargetMode="External"/><Relationship Id="rId2246" Type="http://schemas.openxmlformats.org/officeDocument/2006/relationships/hyperlink" Target="http://dlvr.it/Qt1Sr0" TargetMode="External"/><Relationship Id="rId2453" Type="http://schemas.openxmlformats.org/officeDocument/2006/relationships/hyperlink" Target="https://www.meneame.net/story/pedro-sanchez-quiere-reformar-constitucion-incluir-igualdad" TargetMode="External"/><Relationship Id="rId2660" Type="http://schemas.openxmlformats.org/officeDocument/2006/relationships/hyperlink" Target="https://www.20minutos.es/noticia/3510387/0/abucheos-pedro-sanchez-congreso-aniversario-constitucion/?utm_source=twitter.com&amp;utm_medium=socialshare&amp;utm_campaign=desktop" TargetMode="External"/><Relationship Id="rId2898" Type="http://schemas.openxmlformats.org/officeDocument/2006/relationships/hyperlink" Target="https://www.eldiario.es/politica/Pedro-Sanchez-Congreso-Dia-Constitucion_0_843415844.html" TargetMode="External"/><Relationship Id="rId218" Type="http://schemas.openxmlformats.org/officeDocument/2006/relationships/hyperlink" Target="https://pbs.twimg.com/media/Dt5kVkbWwAM2r6Z.jpg" TargetMode="External"/><Relationship Id="rId425" Type="http://schemas.openxmlformats.org/officeDocument/2006/relationships/hyperlink" Target="https://pbs.twimg.com/media/DtrDCzAXQAY-09s.jpg" TargetMode="External"/><Relationship Id="rId632" Type="http://schemas.openxmlformats.org/officeDocument/2006/relationships/hyperlink" Target="https://www.huffingtonpost.es/2018/12/04/pedro-sanchez-entrevista-telecinco-pedro-piqueras-tras-elecciones-andaluzas_a_23608490/" TargetMode="External"/><Relationship Id="rId1055" Type="http://schemas.openxmlformats.org/officeDocument/2006/relationships/hyperlink" Target="http://disq.us/t/39a282x" TargetMode="External"/><Relationship Id="rId1262" Type="http://schemas.openxmlformats.org/officeDocument/2006/relationships/hyperlink" Target="http://bit.ly/2UoMmrB" TargetMode="External"/><Relationship Id="rId2106" Type="http://schemas.openxmlformats.org/officeDocument/2006/relationships/hyperlink" Target="http://eldiario.es/" TargetMode="External"/><Relationship Id="rId2313" Type="http://schemas.openxmlformats.org/officeDocument/2006/relationships/hyperlink" Target="http://www.pedrocastro.es/" TargetMode="External"/><Relationship Id="rId2520" Type="http://schemas.openxmlformats.org/officeDocument/2006/relationships/hyperlink" Target="https://goo.gl/EhVPjq" TargetMode="External"/><Relationship Id="rId2758" Type="http://schemas.openxmlformats.org/officeDocument/2006/relationships/hyperlink" Target="https://lee.eldiario.es/ps" TargetMode="External"/><Relationship Id="rId2965" Type="http://schemas.openxmlformats.org/officeDocument/2006/relationships/hyperlink" Target="https://pbs.twimg.com/media/DtvzdLOUUAAAxoK.jpg" TargetMode="External"/><Relationship Id="rId937" Type="http://schemas.openxmlformats.org/officeDocument/2006/relationships/hyperlink" Target="https://www.libertaddigital.com/espana/2018-12-07/mitin-contra-vox-de-celaa-desde-moncloa-da-instrucciones-a-pp-y-cs-para-que-no-pacten-con-ellos-1276629533/" TargetMode="External"/><Relationship Id="rId1122" Type="http://schemas.openxmlformats.org/officeDocument/2006/relationships/hyperlink" Target="https://www.cope.es/n/306196" TargetMode="External"/><Relationship Id="rId1567" Type="http://schemas.openxmlformats.org/officeDocument/2006/relationships/hyperlink" Target="http://www.infoheaders.com/" TargetMode="External"/><Relationship Id="rId1774" Type="http://schemas.openxmlformats.org/officeDocument/2006/relationships/hyperlink" Target="http://www.eitb.com/es/radio/radio-euskadi/" TargetMode="External"/><Relationship Id="rId1981" Type="http://schemas.openxmlformats.org/officeDocument/2006/relationships/hyperlink" Target="https://okdiario.com/espana/2018/12/07/han-pasado-85-dias-demanda-pedro-sanchez-sigue-sin-llegar-3437752" TargetMode="External"/><Relationship Id="rId2618" Type="http://schemas.openxmlformats.org/officeDocument/2006/relationships/hyperlink" Target="https://twitter.com/silviam54397905/status/1070750854054072321" TargetMode="External"/><Relationship Id="rId2825" Type="http://schemas.openxmlformats.org/officeDocument/2006/relationships/hyperlink" Target="https://twitter.com/agarzon/status/1070600644908777472" TargetMode="External"/><Relationship Id="rId66" Type="http://schemas.openxmlformats.org/officeDocument/2006/relationships/hyperlink" Target="http://comopunos2.blogspot.com/2018/12/la-gran-oportunidad-Pedro-Sanchez-Susana-Diaz-Andaluzas-Elecciones.html" TargetMode="External"/><Relationship Id="rId1427" Type="http://schemas.openxmlformats.org/officeDocument/2006/relationships/hyperlink" Target="https://thenewsatyourfingertips.wordpress.com/2018/12/07/pedro-sanchez-asistira-a-la-final-en-el-bernabeu/" TargetMode="External"/><Relationship Id="rId1634" Type="http://schemas.openxmlformats.org/officeDocument/2006/relationships/hyperlink" Target="http://net.quantitas.com/help/contact" TargetMode="External"/><Relationship Id="rId1841" Type="http://schemas.openxmlformats.org/officeDocument/2006/relationships/hyperlink" Target="https://pbs.twimg.com/media/DtzZ-paXcAEs2eU.jpg" TargetMode="External"/><Relationship Id="rId3087" Type="http://schemas.openxmlformats.org/officeDocument/2006/relationships/hyperlink" Target="http://pic.twitter.com/xKaiKd2kKQ" TargetMode="External"/><Relationship Id="rId3294" Type="http://schemas.openxmlformats.org/officeDocument/2006/relationships/hyperlink" Target="https://www.eldiario.es/politica/Gobierno-distancias-independentistas-PSOE-Andalucia_0_843066462.html" TargetMode="External"/><Relationship Id="rId1939" Type="http://schemas.openxmlformats.org/officeDocument/2006/relationships/hyperlink" Target="https://www.libremercado.com/2018-12-07/el-populismo-de-pedro-sanchez-se-extiende-al-sector-energetico-1276629287/" TargetMode="External"/><Relationship Id="rId1701" Type="http://schemas.openxmlformats.org/officeDocument/2006/relationships/hyperlink" Target="http://www.citizengo.org/hazteoir/pc/166961-pedro-sanchez-vende-guardia-civil?tc=tw&amp;tcid=52565403" TargetMode="External"/><Relationship Id="rId3154" Type="http://schemas.openxmlformats.org/officeDocument/2006/relationships/hyperlink" Target="https://www.libertaddigital.com/espana/2018-12-06/pedro-sanchez-descarta-elecciones-en-marzo-pero-abre-la-puerta-a-mayo-1276629489/" TargetMode="External"/><Relationship Id="rId3361" Type="http://schemas.openxmlformats.org/officeDocument/2006/relationships/hyperlink" Target="http://epmundo.com/" TargetMode="External"/><Relationship Id="rId282" Type="http://schemas.openxmlformats.org/officeDocument/2006/relationships/hyperlink" Target="https://pbs.twimg.com/media/Dt5Zz1QXgAEj3z_.jpg" TargetMode="External"/><Relationship Id="rId587" Type="http://schemas.openxmlformats.org/officeDocument/2006/relationships/hyperlink" Target="https://pbs.twimg.com/media/Dt3-WGFWwAAbrKA.jpg" TargetMode="External"/><Relationship Id="rId2170" Type="http://schemas.openxmlformats.org/officeDocument/2006/relationships/hyperlink" Target="http://bit.ly/EP_Venezuela" TargetMode="External"/><Relationship Id="rId2268" Type="http://schemas.openxmlformats.org/officeDocument/2006/relationships/hyperlink" Target="https://blogs.elconfidencial.com/espana/notebook/2018-12-04/elecciones-andalucia-fracaso-sanchez_1683858/" TargetMode="External"/><Relationship Id="rId3014" Type="http://schemas.openxmlformats.org/officeDocument/2006/relationships/hyperlink" Target="https://pbs.twimg.com/media/DtvtB8AWoAgRik0.jpg" TargetMode="External"/><Relationship Id="rId3221" Type="http://schemas.openxmlformats.org/officeDocument/2006/relationships/hyperlink" Target="https://www.esdiario.com/452403351/Las-cifras-del-panico-asi-conduce-Pedro-Sanchez-al-precipicio-al-PSOE-.html" TargetMode="External"/><Relationship Id="rId3319" Type="http://schemas.openxmlformats.org/officeDocument/2006/relationships/hyperlink" Target="http://www.elcorreo.com/" TargetMode="External"/><Relationship Id="rId8" Type="http://schemas.openxmlformats.org/officeDocument/2006/relationships/hyperlink" Target="https://twitter.com/yosoynaranjito_/status/1071351219535396864" TargetMode="External"/><Relationship Id="rId142" Type="http://schemas.openxmlformats.org/officeDocument/2006/relationships/hyperlink" Target="http://eldiario.es/" TargetMode="External"/><Relationship Id="rId447" Type="http://schemas.openxmlformats.org/officeDocument/2006/relationships/hyperlink" Target="http://pic.twitter.com/KphJLlRFLf" TargetMode="External"/><Relationship Id="rId794" Type="http://schemas.openxmlformats.org/officeDocument/2006/relationships/hyperlink" Target="http://dlvr.it/Qt5YQv" TargetMode="External"/><Relationship Id="rId1077" Type="http://schemas.openxmlformats.org/officeDocument/2006/relationships/hyperlink" Target="http://www.multiforo.eu/" TargetMode="External"/><Relationship Id="rId2030" Type="http://schemas.openxmlformats.org/officeDocument/2006/relationships/hyperlink" Target="http://youtu.be/6gVn8-ffUF0?a" TargetMode="External"/><Relationship Id="rId2128" Type="http://schemas.openxmlformats.org/officeDocument/2006/relationships/hyperlink" Target="https://www.libertaddigital.com/espana/politica/2018-12-06/abuheo-general-a-pedro-sanchez-convoca-elecciones-1276629479/" TargetMode="External"/><Relationship Id="rId2475" Type="http://schemas.openxmlformats.org/officeDocument/2006/relationships/hyperlink" Target="http://www.ferrerdesansegundo.com/" TargetMode="External"/><Relationship Id="rId2682" Type="http://schemas.openxmlformats.org/officeDocument/2006/relationships/hyperlink" Target="https://www.eldiario.es/politica/Pedro-Sanchez-reforma-Constitucion-igualdad_0_843416144.html" TargetMode="External"/><Relationship Id="rId2987" Type="http://schemas.openxmlformats.org/officeDocument/2006/relationships/hyperlink" Target="https://www.20minutos.es/noticia/3510514/0/pedro-sanchez-andalucia-susana-diaz/" TargetMode="External"/><Relationship Id="rId654" Type="http://schemas.openxmlformats.org/officeDocument/2006/relationships/hyperlink" Target="http://www.citizengo.org/hazteoir/pc/166961-pedro-sanchez-vende-guardia-civil?tc=tw&amp;tcid=52577841" TargetMode="External"/><Relationship Id="rId861" Type="http://schemas.openxmlformats.org/officeDocument/2006/relationships/hyperlink" Target="http://vicentvercher.wordpress.com/" TargetMode="External"/><Relationship Id="rId959" Type="http://schemas.openxmlformats.org/officeDocument/2006/relationships/hyperlink" Target="https://pbs.twimg.com/media/Dt1Zj6jUUAE_kw3.jpg" TargetMode="External"/><Relationship Id="rId1284" Type="http://schemas.openxmlformats.org/officeDocument/2006/relationships/hyperlink" Target="https://twitter.com/MariaCanteras/status/1070989157512699904" TargetMode="External"/><Relationship Id="rId1491" Type="http://schemas.openxmlformats.org/officeDocument/2006/relationships/hyperlink" Target="https://m.eldiario.es/_32458250" TargetMode="External"/><Relationship Id="rId1589" Type="http://schemas.openxmlformats.org/officeDocument/2006/relationships/hyperlink" Target="http://pic.twitter.com/oa5l4ExLOh" TargetMode="External"/><Relationship Id="rId2335" Type="http://schemas.openxmlformats.org/officeDocument/2006/relationships/hyperlink" Target="https://www.esdiario.com/238196932/El-verdadero-CIS-de-Pedro-Sanchez-otro-espectacular-abucheo-en-el-Congreso.html" TargetMode="External"/><Relationship Id="rId2542" Type="http://schemas.openxmlformats.org/officeDocument/2006/relationships/hyperlink" Target="https://nuevocurso.org/" TargetMode="External"/><Relationship Id="rId307" Type="http://schemas.openxmlformats.org/officeDocument/2006/relationships/hyperlink" Target="https://m.eldiario.es/_32458250" TargetMode="External"/><Relationship Id="rId514" Type="http://schemas.openxmlformats.org/officeDocument/2006/relationships/hyperlink" Target="https://okdiario.com/economia/2018/12/08/italia-credibilidad-presupuestos-pedro-sanchez-denunciar-ue-trato-discriminatorio-3437675" TargetMode="External"/><Relationship Id="rId721" Type="http://schemas.openxmlformats.org/officeDocument/2006/relationships/hyperlink" Target="http://www.derechoyestado.com/" TargetMode="External"/><Relationship Id="rId1144" Type="http://schemas.openxmlformats.org/officeDocument/2006/relationships/hyperlink" Target="http://eju.tv/" TargetMode="External"/><Relationship Id="rId1351" Type="http://schemas.openxmlformats.org/officeDocument/2006/relationships/hyperlink" Target="https://elpais.com/politica/2018/12/07/actualidad/1544185491_712670.html" TargetMode="External"/><Relationship Id="rId1449" Type="http://schemas.openxmlformats.org/officeDocument/2006/relationships/hyperlink" Target="https://mact.es/2roPDtI" TargetMode="External"/><Relationship Id="rId1796" Type="http://schemas.openxmlformats.org/officeDocument/2006/relationships/hyperlink" Target="https://www.elmundo.es/cataluna/2018/12/07/5c0a396721efa049618b457f.html" TargetMode="External"/><Relationship Id="rId2402" Type="http://schemas.openxmlformats.org/officeDocument/2006/relationships/hyperlink" Target="https://www.abc.es/espana/abci-pedro-sanchez-llega-entre-abucheos-congreso-40-aniversario-constitucion-201812061227_noticia.html" TargetMode="External"/><Relationship Id="rId2847" Type="http://schemas.openxmlformats.org/officeDocument/2006/relationships/hyperlink" Target="https://www.libertaddigital.com/espana/2018-12-06/pedro-sanchez-descarta-elecciones-en-marzo-pero-abre-la-puerta-a-mayo-1276629489/" TargetMode="External"/><Relationship Id="rId88" Type="http://schemas.openxmlformats.org/officeDocument/2006/relationships/hyperlink" Target="https://www.abc.es/espana/abci-pedro-sanchez-alerta-auge-extrema-derecha-europa-201812081647_noticia.html" TargetMode="External"/><Relationship Id="rId819" Type="http://schemas.openxmlformats.org/officeDocument/2006/relationships/hyperlink" Target="https://www.cope.es/n/306196" TargetMode="External"/><Relationship Id="rId1004" Type="http://schemas.openxmlformats.org/officeDocument/2006/relationships/hyperlink" Target="https://elobrero.es/nacional/item/22295-sanchez-abre-manyana-en-lisboa-la-precampanya-de-las-elecciones-europeas.html" TargetMode="External"/><Relationship Id="rId1211" Type="http://schemas.openxmlformats.org/officeDocument/2006/relationships/hyperlink" Target="https://www.economiadigital.es/politica-y-sociedad/quim-torra-ayunara-antes-de-la-visita-de-pedro-sanchez-a-barcelona_592919_102.html" TargetMode="External"/><Relationship Id="rId1656" Type="http://schemas.openxmlformats.org/officeDocument/2006/relationships/hyperlink" Target="https://www.mediterraneodigital.com/espana/espana/ridiculo-apoteosico-pedro-sanchez-pide-reformar-la-constitucion-para-incluir-un-articulo-que-ya-existe.html" TargetMode="External"/><Relationship Id="rId1863" Type="http://schemas.openxmlformats.org/officeDocument/2006/relationships/hyperlink" Target="http://www.desdeelcaballodelastendillas.es/" TargetMode="External"/><Relationship Id="rId2707" Type="http://schemas.openxmlformats.org/officeDocument/2006/relationships/hyperlink" Target="https://pbs.twimg.com/media/DtwV6kQXcAIpHPP.jpg" TargetMode="External"/><Relationship Id="rId2914" Type="http://schemas.openxmlformats.org/officeDocument/2006/relationships/hyperlink" Target="http://atres.red/kfvmr2" TargetMode="External"/><Relationship Id="rId1309" Type="http://schemas.openxmlformats.org/officeDocument/2006/relationships/hyperlink" Target="http://eurosport.es/" TargetMode="External"/><Relationship Id="rId1516" Type="http://schemas.openxmlformats.org/officeDocument/2006/relationships/hyperlink" Target="https://pbs.twimg.com/media/Dt0EptnWwAAkHuE.jpg" TargetMode="External"/><Relationship Id="rId1723" Type="http://schemas.openxmlformats.org/officeDocument/2006/relationships/hyperlink" Target="https://paper.li/jc_karnak23/1421836371?read=https%3A%2F%2Fwww.eldiario.es%2Fpolitica%2FPedro-Sanchez-posibilidad-elecciones-Seguiremos_0_843416005.html" TargetMode="External"/><Relationship Id="rId1930" Type="http://schemas.openxmlformats.org/officeDocument/2006/relationships/hyperlink" Target="http://okdiario.com/" TargetMode="External"/><Relationship Id="rId3176" Type="http://schemas.openxmlformats.org/officeDocument/2006/relationships/hyperlink" Target="http://www.multiforo.eu/" TargetMode="External"/><Relationship Id="rId3383" Type="http://schemas.openxmlformats.org/officeDocument/2006/relationships/hyperlink" Target="https://www.libertaddigital.com/espana/politica/2018-12-06/abuheo-general-a-pedro-sanchez-convoca-elecciones-1276629479/" TargetMode="External"/><Relationship Id="rId15" Type="http://schemas.openxmlformats.org/officeDocument/2006/relationships/hyperlink" Target="https://pbs.twimg.com/media/Dt6Itk1WsAIhk1Y.jpg" TargetMode="External"/><Relationship Id="rId2192" Type="http://schemas.openxmlformats.org/officeDocument/2006/relationships/hyperlink" Target="https://pbs.twimg.com/media/DtwLoMtXQAIkp7L.jpg" TargetMode="External"/><Relationship Id="rId3036" Type="http://schemas.openxmlformats.org/officeDocument/2006/relationships/hyperlink" Target="https://www.elprogreso.es/video/videos/pedro-sanchez-recibe-abucheos-llegada-salida-homenaje-constitucion/201812061641251348095.html" TargetMode="External"/><Relationship Id="rId3243" Type="http://schemas.openxmlformats.org/officeDocument/2006/relationships/hyperlink" Target="https://www.abc.es/espana/abci-pedro-sanchez-impulso-constitucional-para-cambio-epoca-201812060240_noticia.html" TargetMode="External"/><Relationship Id="rId164" Type="http://schemas.openxmlformats.org/officeDocument/2006/relationships/hyperlink" Target="https://www.20minutos.es/" TargetMode="External"/><Relationship Id="rId371" Type="http://schemas.openxmlformats.org/officeDocument/2006/relationships/hyperlink" Target="http://discord.me/xferry" TargetMode="External"/><Relationship Id="rId2052" Type="http://schemas.openxmlformats.org/officeDocument/2006/relationships/hyperlink" Target="https://&#241;apa.es/" TargetMode="External"/><Relationship Id="rId2497" Type="http://schemas.openxmlformats.org/officeDocument/2006/relationships/hyperlink" Target="http://ddsevilla.info/doqni2" TargetMode="External"/><Relationship Id="rId469" Type="http://schemas.openxmlformats.org/officeDocument/2006/relationships/hyperlink" Target="https://elpais.com/politica/2018/12/04/actualidad/1543916726_658727.html" TargetMode="External"/><Relationship Id="rId676" Type="http://schemas.openxmlformats.org/officeDocument/2006/relationships/hyperlink" Target="http://epmundo.com/2018/el-bombazo-que-lanzo-pedro-sanchez-sobre-las-elecciones-generales/" TargetMode="External"/><Relationship Id="rId883" Type="http://schemas.openxmlformats.org/officeDocument/2006/relationships/hyperlink" Target="https://pbs.twimg.com/media/Dt1pJY2WkAAwVJs.jpg" TargetMode="External"/><Relationship Id="rId1099" Type="http://schemas.openxmlformats.org/officeDocument/2006/relationships/hyperlink" Target="https://www.republica.com/2018/12/07/pedro-sanchez-asistira-a-la-final-de-la-copa-libertadores-en-el-bernabeu/" TargetMode="External"/><Relationship Id="rId2357" Type="http://schemas.openxmlformats.org/officeDocument/2006/relationships/hyperlink" Target="http://instagram.com/JuanesIG_" TargetMode="External"/><Relationship Id="rId2564" Type="http://schemas.openxmlformats.org/officeDocument/2006/relationships/hyperlink" Target="http://pic.twitter.com/8Crfapw3Zu" TargetMode="External"/><Relationship Id="rId3103" Type="http://schemas.openxmlformats.org/officeDocument/2006/relationships/hyperlink" Target="https://pbs.twimg.com/media/Dtvik4RWsAAZfDt.jpg" TargetMode="External"/><Relationship Id="rId3310" Type="http://schemas.openxmlformats.org/officeDocument/2006/relationships/hyperlink" Target="http://7tvregiondemurcia.es/abucheos-a-pedro-sanchez-a-las-puertas-del-congreso-el-dia-de-la-constitucion/" TargetMode="External"/><Relationship Id="rId3408" Type="http://schemas.openxmlformats.org/officeDocument/2006/relationships/hyperlink" Target="https://blogs.elconfidencial.com/espana/desde-fuera/2018-12-06/elecciones-andalucia-pedro-sanchez-susana-diaz-culpable-hundimiento-titanic-socialista_1688542/?utm_source=twitter&amp;utm_medium=social&amp;utm_campaign=BotoneraWeb" TargetMode="External"/><Relationship Id="rId231" Type="http://schemas.openxmlformats.org/officeDocument/2006/relationships/hyperlink" Target="https://itunes.apple.com/es/book/gettysburg-1863/id665369445?mt=11" TargetMode="External"/><Relationship Id="rId329" Type="http://schemas.openxmlformats.org/officeDocument/2006/relationships/hyperlink" Target="http://epmundo.com/2018/el-bombazo-que-lanzo-pedro-sanchez-sobre-las-elecciones-generales/" TargetMode="External"/><Relationship Id="rId536" Type="http://schemas.openxmlformats.org/officeDocument/2006/relationships/hyperlink" Target="https://pbs.twimg.com/media/Dt4WpfbW0AAsg52.jpg" TargetMode="External"/><Relationship Id="rId1166" Type="http://schemas.openxmlformats.org/officeDocument/2006/relationships/hyperlink" Target="http://www.radiosportdjs.com/" TargetMode="External"/><Relationship Id="rId1373" Type="http://schemas.openxmlformats.org/officeDocument/2006/relationships/hyperlink" Target="http://www.noticierouniversal.com/" TargetMode="External"/><Relationship Id="rId2217" Type="http://schemas.openxmlformats.org/officeDocument/2006/relationships/hyperlink" Target="https://twitter.com/arturelpayaso2/status/1070703901127651329" TargetMode="External"/><Relationship Id="rId2771" Type="http://schemas.openxmlformats.org/officeDocument/2006/relationships/hyperlink" Target="https://www.facebook.com/PoderGris.luissosa.orlandoguiomar/" TargetMode="External"/><Relationship Id="rId2869" Type="http://schemas.openxmlformats.org/officeDocument/2006/relationships/hyperlink" Target="https://www.20minutos.es/noticia/3510514/0/pedro-sanchez-andalucia-susana-diaz/" TargetMode="External"/><Relationship Id="rId743" Type="http://schemas.openxmlformats.org/officeDocument/2006/relationships/hyperlink" Target="https://www.eldiario.es/politica/Pedro-Sanchez-Casado-Rivera-electoral_0_843416123.html" TargetMode="External"/><Relationship Id="rId950" Type="http://schemas.openxmlformats.org/officeDocument/2006/relationships/hyperlink" Target="https://goo.gl/bJ2Mx5" TargetMode="External"/><Relationship Id="rId1026" Type="http://schemas.openxmlformats.org/officeDocument/2006/relationships/hyperlink" Target="https://magnet.xataka.com/p/21010?utm_source=twitter&amp;utm_medium=social&amp;utm_campaign=botoneraweb" TargetMode="External"/><Relationship Id="rId1580" Type="http://schemas.openxmlformats.org/officeDocument/2006/relationships/hyperlink" Target="https://terceracaidalinare.wixsite.com/terceracaidalinares" TargetMode="External"/><Relationship Id="rId1678" Type="http://schemas.openxmlformats.org/officeDocument/2006/relationships/hyperlink" Target="https://ift.tt/2RGItwm" TargetMode="External"/><Relationship Id="rId1885" Type="http://schemas.openxmlformats.org/officeDocument/2006/relationships/hyperlink" Target="https://www.eldiario.es/politica/Pedro-Sanchez-reforma-Constitucion-igualdad_0_843416144.html" TargetMode="External"/><Relationship Id="rId2424" Type="http://schemas.openxmlformats.org/officeDocument/2006/relationships/hyperlink" Target="https://www.esdiario.com/238196932/El-verdadero-CIS-de-Pedro-Sanchez-otro-espectacular-abucheo-en-el-Congreso.html" TargetMode="External"/><Relationship Id="rId2631" Type="http://schemas.openxmlformats.org/officeDocument/2006/relationships/hyperlink" Target="https://www.libertaddigital.com/espana/2018-12-06/pedro-sanchez-desconoce-la-constitucion-pide-reformarla-para-incluir-la-igualdad-entre-hombres-y-mujeres-1276629507/" TargetMode="External"/><Relationship Id="rId2729" Type="http://schemas.openxmlformats.org/officeDocument/2006/relationships/hyperlink" Target="https://pbs.twimg.com/media/DtwTgkrU8AAq5mp.jpg" TargetMode="External"/><Relationship Id="rId2936" Type="http://schemas.openxmlformats.org/officeDocument/2006/relationships/hyperlink" Target="http://www.lasexta.com/noticias/" TargetMode="External"/><Relationship Id="rId603" Type="http://schemas.openxmlformats.org/officeDocument/2006/relationships/hyperlink" Target="http://youtu.be/h460ssWCo58?a" TargetMode="External"/><Relationship Id="rId810" Type="http://schemas.openxmlformats.org/officeDocument/2006/relationships/hyperlink" Target="https://twitter.com/monicaoltra/status/1071104149255831553" TargetMode="External"/><Relationship Id="rId908" Type="http://schemas.openxmlformats.org/officeDocument/2006/relationships/hyperlink" Target="http://bierzogpb.blogspot.com.es/" TargetMode="External"/><Relationship Id="rId1233" Type="http://schemas.openxmlformats.org/officeDocument/2006/relationships/hyperlink" Target="http://epmundo.com/2018/el-bombazo-que-lanzo-pedro-sanchez-sobre-las-elecciones-generales/?utm_source=twitter&amp;utm_medium=social&amp;utm_campaign=ReviveOldPost" TargetMode="External"/><Relationship Id="rId1440" Type="http://schemas.openxmlformats.org/officeDocument/2006/relationships/hyperlink" Target="https://www.lavanguardia.com/economia/20181207/453403582708/deficit-gobierno-presupuestos-pedro-sanchez-consejo-de-ministros.html?utm_source=twitter_lv&amp;utm_medium=social" TargetMode="External"/><Relationship Id="rId1538" Type="http://schemas.openxmlformats.org/officeDocument/2006/relationships/hyperlink" Target="https://gab.ai/Barbijaputa" TargetMode="External"/><Relationship Id="rId1300" Type="http://schemas.openxmlformats.org/officeDocument/2006/relationships/hyperlink" Target="https://www.facebook.com/elquincenal.delospedroches/videos/2731545837069516/?__xts__%5b0%5d=68.ARDAIH4j2cYvwth9XnD3uUygUmLsfUBbsGpyrQ3jJU5DaKnJh8RCGmg8lukiOqpjoC1JzmhckIoiQnxZQexffEwsWEqCzVvStechsnb4d-X2Bm64qi7oh-Ku8zZc6FYh5L5BQiHFFYHu8uxXklNmT1DYYZOfwZ4SstFugPLVhbugLTb3eFaOyb1EHB8-yMA77h258vlLTdll_xX70QUCUs1SmfNiguyBFSjVkiZvPMonfUAfokwYFjq-B9coExDpLSpswKThaqgI0C_HgQZG3wu2gwAIAHkQbt--b7iEUlfSeT2XKkfbmD2frtiO7uNrgIyo76JoIEQh23eU_pERaOpzbswhBNxUOBBJVw&amp;__tn__=-R" TargetMode="External"/><Relationship Id="rId1745" Type="http://schemas.openxmlformats.org/officeDocument/2006/relationships/hyperlink" Target="https://www.facebook.com/groups/1523383624657240/?fref=nf" TargetMode="External"/><Relationship Id="rId1952" Type="http://schemas.openxmlformats.org/officeDocument/2006/relationships/hyperlink" Target="https://youtu.be/fNkyCYCTeWE" TargetMode="External"/><Relationship Id="rId3198" Type="http://schemas.openxmlformats.org/officeDocument/2006/relationships/hyperlink" Target="https://www.libertaddigital.com/espana/politica/2018-12-06/abuheo-general-a-pedro-sanchez-convoca-elecciones-1276629479/" TargetMode="External"/><Relationship Id="rId37" Type="http://schemas.openxmlformats.org/officeDocument/2006/relationships/hyperlink" Target="https://gironanoticies.com/noticia/82062-quim-torra-politiza-los-mossos-desquadra-en-detrimento-de-la-seguridad.htm" TargetMode="External"/><Relationship Id="rId1605" Type="http://schemas.openxmlformats.org/officeDocument/2006/relationships/hyperlink" Target="http://magnet.xataka.com/" TargetMode="External"/><Relationship Id="rId1812" Type="http://schemas.openxmlformats.org/officeDocument/2006/relationships/hyperlink" Target="http://casajuntoalrio.wordpress.com/" TargetMode="External"/><Relationship Id="rId3058" Type="http://schemas.openxmlformats.org/officeDocument/2006/relationships/hyperlink" Target="http://www.megustaleer.com/libros/palabra-de-dios-tuitero/AG14848" TargetMode="External"/><Relationship Id="rId3265" Type="http://schemas.openxmlformats.org/officeDocument/2006/relationships/hyperlink" Target="http://www.loscaballerosdeldinero.com/" TargetMode="External"/><Relationship Id="rId186" Type="http://schemas.openxmlformats.org/officeDocument/2006/relationships/hyperlink" Target="http://www.efe.com/" TargetMode="External"/><Relationship Id="rId393" Type="http://schemas.openxmlformats.org/officeDocument/2006/relationships/hyperlink" Target="http://www.deportivo-la-coruna.com/page.php" TargetMode="External"/><Relationship Id="rId2074" Type="http://schemas.openxmlformats.org/officeDocument/2006/relationships/hyperlink" Target="https://www.eldiario.es/politica/Pedro-Sanchez-Casado-Rivera-electoral_0_843416123.html" TargetMode="External"/><Relationship Id="rId2281" Type="http://schemas.openxmlformats.org/officeDocument/2006/relationships/hyperlink" Target="http://curiouscat.me/Dhei" TargetMode="External"/><Relationship Id="rId3125" Type="http://schemas.openxmlformats.org/officeDocument/2006/relationships/hyperlink" Target="https://www.economiadigital.es/politica-y-sociedad/pedro-sanchez-comunica-al-psoe-dos-fechas-para-las-elecciones_592733_102.html" TargetMode="External"/><Relationship Id="rId3332" Type="http://schemas.openxmlformats.org/officeDocument/2006/relationships/hyperlink" Target="http://www.ondacero.es/programas/noticias-mediodia/" TargetMode="External"/><Relationship Id="rId253" Type="http://schemas.openxmlformats.org/officeDocument/2006/relationships/hyperlink" Target="https://cronicaglobal.elespanol.com/politica/cdr-ap-7-conductores-corte_205521_102.html" TargetMode="External"/><Relationship Id="rId460" Type="http://schemas.openxmlformats.org/officeDocument/2006/relationships/hyperlink" Target="http://okdiario.com/" TargetMode="External"/><Relationship Id="rId698" Type="http://schemas.openxmlformats.org/officeDocument/2006/relationships/hyperlink" Target="https://www.cope.es/n/306196" TargetMode="External"/><Relationship Id="rId1090" Type="http://schemas.openxmlformats.org/officeDocument/2006/relationships/hyperlink" Target="https://www.cope.es/n/306196" TargetMode="External"/><Relationship Id="rId2141" Type="http://schemas.openxmlformats.org/officeDocument/2006/relationships/hyperlink" Target="http://www.laps4.com/foro/network.php?do=listguides&amp;author=148518" TargetMode="External"/><Relationship Id="rId2379" Type="http://schemas.openxmlformats.org/officeDocument/2006/relationships/hyperlink" Target="https://bit.ly/2Sx3CJn" TargetMode="External"/><Relationship Id="rId2586" Type="http://schemas.openxmlformats.org/officeDocument/2006/relationships/hyperlink" Target="http://torturokracia.blogspot.com.es/" TargetMode="External"/><Relationship Id="rId2793" Type="http://schemas.openxmlformats.org/officeDocument/2006/relationships/hyperlink" Target="http://bit.ly/2E2DH8B" TargetMode="External"/><Relationship Id="rId113" Type="http://schemas.openxmlformats.org/officeDocument/2006/relationships/hyperlink" Target="https://casoaislado.com/pedro-sanchez-reconocera-cataluna-como-nacion-a-cambio-de-que-los-independentistas-acepten-los-presupuestos/" TargetMode="External"/><Relationship Id="rId320" Type="http://schemas.openxmlformats.org/officeDocument/2006/relationships/hyperlink" Target="http://bit.ly/2B5gYp5" TargetMode="External"/><Relationship Id="rId558" Type="http://schemas.openxmlformats.org/officeDocument/2006/relationships/hyperlink" Target="http://www.ijaen.es/" TargetMode="External"/><Relationship Id="rId765" Type="http://schemas.openxmlformats.org/officeDocument/2006/relationships/hyperlink" Target="http://www.catalunyalliure.cat/2018/12/carta-oberta-president-pedro-sanchez/" TargetMode="External"/><Relationship Id="rId972" Type="http://schemas.openxmlformats.org/officeDocument/2006/relationships/hyperlink" Target="https://www.esdiario.com/452403351/Las-cifras-del-panico-asi-conduce-Pedro-Sanchez-al-precipicio-al-PSOE-.html" TargetMode="External"/><Relationship Id="rId1188" Type="http://schemas.openxmlformats.org/officeDocument/2006/relationships/hyperlink" Target="https://pbs.twimg.com/media/Dt0vS4uW4AEFOaj.jpg" TargetMode="External"/><Relationship Id="rId1395" Type="http://schemas.openxmlformats.org/officeDocument/2006/relationships/hyperlink" Target="https://pbs.twimg.com/media/Dt0RFzdWoAAx7qb.jpg" TargetMode="External"/><Relationship Id="rId2001" Type="http://schemas.openxmlformats.org/officeDocument/2006/relationships/hyperlink" Target="http://okdiario.com/espana/2018/12/07/pedro-sanchez-reformar-constitucion-incluir-igualdad-hombres-mujeres-articulo-14-desde-hace-40-anos-3437620" TargetMode="External"/><Relationship Id="rId2239" Type="http://schemas.openxmlformats.org/officeDocument/2006/relationships/hyperlink" Target="https://www.esdiario.com/238196932/El-verdadero-CIS-de-Pedro-Sanchez-otro-espectacular-abucheo-en-el-Congreso.html" TargetMode="External"/><Relationship Id="rId2446" Type="http://schemas.openxmlformats.org/officeDocument/2006/relationships/hyperlink" Target="http://bit.ly/2AZ7dJn" TargetMode="External"/><Relationship Id="rId2653" Type="http://schemas.openxmlformats.org/officeDocument/2006/relationships/hyperlink" Target="http://foros.foxinver.com/" TargetMode="External"/><Relationship Id="rId2860" Type="http://schemas.openxmlformats.org/officeDocument/2006/relationships/hyperlink" Target="http://www.futbol-addict.com/es-co/news/liga-aguila/atletico-nacional" TargetMode="External"/><Relationship Id="rId418" Type="http://schemas.openxmlformats.org/officeDocument/2006/relationships/hyperlink" Target="http://dondiario.com/" TargetMode="External"/><Relationship Id="rId625" Type="http://schemas.openxmlformats.org/officeDocument/2006/relationships/hyperlink" Target="http://youtu.be/b4ssMYIa95w?a" TargetMode="External"/><Relationship Id="rId832" Type="http://schemas.openxmlformats.org/officeDocument/2006/relationships/hyperlink" Target="https://www.periodistadigital.com/politica/gobierno/2018/12/06/begona-gomez-6-000-euros-de-nomina-mensual-de-una-empresa-en-la-que-no-trabaja.shtml?fbclid=IwAR2sJ9oB6B_v40DE710TOlpibVN4VRt8GwqGkXICGWkGOGBVw6z8dhhJnPU" TargetMode="External"/><Relationship Id="rId1048" Type="http://schemas.openxmlformats.org/officeDocument/2006/relationships/hyperlink" Target="http://www.salvaunfeo.ong/" TargetMode="External"/><Relationship Id="rId1255" Type="http://schemas.openxmlformats.org/officeDocument/2006/relationships/hyperlink" Target="https://www.youtube.com/channel/UCzxgc4H0oHpD_o05R7wmEAA" TargetMode="External"/><Relationship Id="rId1462" Type="http://schemas.openxmlformats.org/officeDocument/2006/relationships/hyperlink" Target="https://pbs.twimg.com/media/Dt0LbKhW0AAUmjC.jpg" TargetMode="External"/><Relationship Id="rId2306" Type="http://schemas.openxmlformats.org/officeDocument/2006/relationships/hyperlink" Target="https://www.eldiario.es/_3245823b" TargetMode="External"/><Relationship Id="rId2513" Type="http://schemas.openxmlformats.org/officeDocument/2006/relationships/hyperlink" Target="https://pbs.twimg.com/media/Dtws0ymWkAEmH2i.jpg" TargetMode="External"/><Relationship Id="rId2958" Type="http://schemas.openxmlformats.org/officeDocument/2006/relationships/hyperlink" Target="http://dlvr.it/Qszy1t" TargetMode="External"/><Relationship Id="rId1115" Type="http://schemas.openxmlformats.org/officeDocument/2006/relationships/hyperlink" Target="http://www.veoinfo.com/pedro-sanchez-asistira-a-la-final-de-la-libertadores-en-el-bernabeu/" TargetMode="External"/><Relationship Id="rId1322" Type="http://schemas.openxmlformats.org/officeDocument/2006/relationships/hyperlink" Target="https://pbs.twimg.com/media/Dt0Cn0xWsAE1geC.jpg" TargetMode="External"/><Relationship Id="rId1767" Type="http://schemas.openxmlformats.org/officeDocument/2006/relationships/hyperlink" Target="https://maldita.es/malditahemeroteca/cuando-pedro-sanchez-queria-que-el-cgpj-se-eligiera-por-concurso-publico/" TargetMode="External"/><Relationship Id="rId1974" Type="http://schemas.openxmlformats.org/officeDocument/2006/relationships/hyperlink" Target="http://j.mp/2RKwKgc" TargetMode="External"/><Relationship Id="rId2720" Type="http://schemas.openxmlformats.org/officeDocument/2006/relationships/hyperlink" Target="https://www.20minutos.es/noticia/3510387/0/abucheos-pedro-sanchez-congreso-aniversario-constitucion/?utm_source=Facebook-20minutos&amp;utm_medium=Social&amp;utm_campaign=Postlink" TargetMode="External"/><Relationship Id="rId2818" Type="http://schemas.openxmlformats.org/officeDocument/2006/relationships/hyperlink" Target="https://pbs.twimg.com/media/DtwIb4GWkAcZVjM.jpg" TargetMode="External"/><Relationship Id="rId59" Type="http://schemas.openxmlformats.org/officeDocument/2006/relationships/hyperlink" Target="http://www.lavanguardia.com/" TargetMode="External"/><Relationship Id="rId1627" Type="http://schemas.openxmlformats.org/officeDocument/2006/relationships/hyperlink" Target="https://pbs.twimg.com/media/DtwD3bhX4AA_qWG.jpg" TargetMode="External"/><Relationship Id="rId1834" Type="http://schemas.openxmlformats.org/officeDocument/2006/relationships/hyperlink" Target="https://binged.it/2QH1UrE" TargetMode="External"/><Relationship Id="rId3287" Type="http://schemas.openxmlformats.org/officeDocument/2006/relationships/hyperlink" Target="https://disidentia.com/la-voz-del-pueblo" TargetMode="External"/><Relationship Id="rId2096" Type="http://schemas.openxmlformats.org/officeDocument/2006/relationships/hyperlink" Target="https://ift.tt/2PnXmSd" TargetMode="External"/><Relationship Id="rId1901" Type="http://schemas.openxmlformats.org/officeDocument/2006/relationships/hyperlink" Target="https://okdiario.com/espana/2018/12/07/han-pasado-85-dias-demanda-pedro-sanchez-sigue-sin-llegar-3437752" TargetMode="External"/><Relationship Id="rId3147" Type="http://schemas.openxmlformats.org/officeDocument/2006/relationships/hyperlink" Target="http://www.rdsfm.com.ve/" TargetMode="External"/><Relationship Id="rId3354" Type="http://schemas.openxmlformats.org/officeDocument/2006/relationships/hyperlink" Target="https://www.libertaddigital.com/espana/politica/2018-12-06/abuheo-general-a-pedro-sanchez-convoca-elecciones-1276629479/" TargetMode="External"/><Relationship Id="rId275" Type="http://schemas.openxmlformats.org/officeDocument/2006/relationships/hyperlink" Target="https://pbs.twimg.com/media/Dt5aqxrWsAU0FRq.jpg" TargetMode="External"/><Relationship Id="rId482" Type="http://schemas.openxmlformats.org/officeDocument/2006/relationships/hyperlink" Target="http://ww.cope.es/qgrig" TargetMode="External"/><Relationship Id="rId2163" Type="http://schemas.openxmlformats.org/officeDocument/2006/relationships/hyperlink" Target="https://futbolred.com/futbol-colombiano/liga-aguila/atletico-nacional-es-demandado-por-pagos-por-davinson-sanchez-91080" TargetMode="External"/><Relationship Id="rId2370" Type="http://schemas.openxmlformats.org/officeDocument/2006/relationships/hyperlink" Target="http://jesusferrer7.wordpress.com/" TargetMode="External"/><Relationship Id="rId3007" Type="http://schemas.openxmlformats.org/officeDocument/2006/relationships/hyperlink" Target="http://paradigmamedia.org/" TargetMode="External"/><Relationship Id="rId3214" Type="http://schemas.openxmlformats.org/officeDocument/2006/relationships/hyperlink" Target="https://www.abc.es/espana/abci-pedro-sanchez-llega-entre-abucheos-congreso-40-aniversario-constitucion-201812061227_noticia.html" TargetMode="External"/><Relationship Id="rId3421" Type="http://schemas.openxmlformats.org/officeDocument/2006/relationships/hyperlink" Target="https://twitter.com/gonbernardos/status/1069368720923996161" TargetMode="External"/><Relationship Id="rId135" Type="http://schemas.openxmlformats.org/officeDocument/2006/relationships/hyperlink" Target="http://bit.ly/2rtSem1" TargetMode="External"/><Relationship Id="rId342" Type="http://schemas.openxmlformats.org/officeDocument/2006/relationships/hyperlink" Target="http://page.is/ppapanol" TargetMode="External"/><Relationship Id="rId787" Type="http://schemas.openxmlformats.org/officeDocument/2006/relationships/hyperlink" Target="http://va.newsrepublic.net/s/vRybMY" TargetMode="External"/><Relationship Id="rId994" Type="http://schemas.openxmlformats.org/officeDocument/2006/relationships/hyperlink" Target="https://pbs.twimg.com/media/Dt1RpK0VYAA43F6.jpg" TargetMode="External"/><Relationship Id="rId2023" Type="http://schemas.openxmlformats.org/officeDocument/2006/relationships/hyperlink" Target="http://www.publico.es/" TargetMode="External"/><Relationship Id="rId2230" Type="http://schemas.openxmlformats.org/officeDocument/2006/relationships/hyperlink" Target="https://m.eldiario.es/_32458124" TargetMode="External"/><Relationship Id="rId2468" Type="http://schemas.openxmlformats.org/officeDocument/2006/relationships/hyperlink" Target="https://www.libertaddigital.com/espana/2018-12-06/pedro-sanchez-desconoce-la-constitucion-pide-reformarla-para-incluir-la-igualdad-entre-hombres-y-mujeres-1276629507/" TargetMode="External"/><Relationship Id="rId2675" Type="http://schemas.openxmlformats.org/officeDocument/2006/relationships/hyperlink" Target="http://atres.red/0sseh8" TargetMode="External"/><Relationship Id="rId2882" Type="http://schemas.openxmlformats.org/officeDocument/2006/relationships/hyperlink" Target="http://www.elnuevopais.net/" TargetMode="External"/><Relationship Id="rId202" Type="http://schemas.openxmlformats.org/officeDocument/2006/relationships/hyperlink" Target="http://es.linkedin.com/pub/iv%C3%A1n-pablo-rom%C3%A1n-falc%C3%B3/34/4a4/23b" TargetMode="External"/><Relationship Id="rId647" Type="http://schemas.openxmlformats.org/officeDocument/2006/relationships/hyperlink" Target="https://tn.com.ar/show/showmatch/bailando-2018-lourdes-sanchez-y-diego-ramos-homenajearon-freddie-mercury_922905" TargetMode="External"/><Relationship Id="rId854" Type="http://schemas.openxmlformats.org/officeDocument/2006/relationships/hyperlink" Target="https://buff.ly/2B00Xkx" TargetMode="External"/><Relationship Id="rId1277" Type="http://schemas.openxmlformats.org/officeDocument/2006/relationships/hyperlink" Target="http://epmundo.com/2018/el-bombazo-que-lanzo-pedro-sanchez-sobre-las-elecciones-generales/" TargetMode="External"/><Relationship Id="rId1484" Type="http://schemas.openxmlformats.org/officeDocument/2006/relationships/hyperlink" Target="http://www.diariodeuntranseunte.es/" TargetMode="External"/><Relationship Id="rId1691" Type="http://schemas.openxmlformats.org/officeDocument/2006/relationships/hyperlink" Target="http://www.yolanda.info/" TargetMode="External"/><Relationship Id="rId2328" Type="http://schemas.openxmlformats.org/officeDocument/2006/relationships/hyperlink" Target="https://www.lavanguardia.com/politica/20181206/453401347493/pedro-sanchez-constitucion-reformar-igualdad-de-genero.html?utm_source=twitter_lv&amp;utm_medium=social" TargetMode="External"/><Relationship Id="rId2535" Type="http://schemas.openxmlformats.org/officeDocument/2006/relationships/hyperlink" Target="http://www.veoinfo.com/pedro-sanchez-quiere-reformar-la-constitucion-para-incluir-la-igualdad-entre-hombres-y-mujeres/" TargetMode="External"/><Relationship Id="rId2742" Type="http://schemas.openxmlformats.org/officeDocument/2006/relationships/hyperlink" Target="http://javierperez.com/" TargetMode="External"/><Relationship Id="rId507" Type="http://schemas.openxmlformats.org/officeDocument/2006/relationships/hyperlink" Target="http://about.me/marisoltabuyo" TargetMode="External"/><Relationship Id="rId714" Type="http://schemas.openxmlformats.org/officeDocument/2006/relationships/hyperlink" Target="https://www.eldiestro.es/2018/12/pedro-sanchez-demuestra-ser-un-ignorante-y-un-caradura-en-una-entrevista-concedida-a-el-pais/" TargetMode="External"/><Relationship Id="rId921" Type="http://schemas.openxmlformats.org/officeDocument/2006/relationships/hyperlink" Target="https://youtu.be/PGGWDKMyQ_k" TargetMode="External"/><Relationship Id="rId1137" Type="http://schemas.openxmlformats.org/officeDocument/2006/relationships/hyperlink" Target="http://elperiodi.co/fwcrr1" TargetMode="External"/><Relationship Id="rId1344" Type="http://schemas.openxmlformats.org/officeDocument/2006/relationships/hyperlink" Target="http://bit.ly/2rrGQr8" TargetMode="External"/><Relationship Id="rId1551" Type="http://schemas.openxmlformats.org/officeDocument/2006/relationships/hyperlink" Target="http://www.expansion.com/economia/2018/12/06/5c083f3746163f25028b45cd.html" TargetMode="External"/><Relationship Id="rId1789" Type="http://schemas.openxmlformats.org/officeDocument/2006/relationships/hyperlink" Target="http://bit.ly/2QfnLHr" TargetMode="External"/><Relationship Id="rId1996" Type="http://schemas.openxmlformats.org/officeDocument/2006/relationships/hyperlink" Target="https://salmonetesyanonosquedan.blogspot.com/2018/12/no-pasaran.html" TargetMode="External"/><Relationship Id="rId2602" Type="http://schemas.openxmlformats.org/officeDocument/2006/relationships/hyperlink" Target="https://blogs.elconfidencial.com/espana/desde-fuera/2018-12-06/elecciones-andalucia-pedro-sanchez-susana-diaz-culpable-hundimiento-titanic-socialista_1688542/?utm_source=twitter&amp;utm_medium=social&amp;utm_campaign=BotoneraWeb" TargetMode="External"/><Relationship Id="rId50" Type="http://schemas.openxmlformats.org/officeDocument/2006/relationships/hyperlink" Target="https://elpais.com/sociedad/2018/12/06/actualidad/1544094442_305207.html?id_externo_rsoc=TW_CC" TargetMode="External"/><Relationship Id="rId1204" Type="http://schemas.openxmlformats.org/officeDocument/2006/relationships/hyperlink" Target="http://lapatilla.com/" TargetMode="External"/><Relationship Id="rId1411" Type="http://schemas.openxmlformats.org/officeDocument/2006/relationships/hyperlink" Target="http://www.veolinares.com/" TargetMode="External"/><Relationship Id="rId1649" Type="http://schemas.openxmlformats.org/officeDocument/2006/relationships/hyperlink" Target="https://www.plannercongresos.com/" TargetMode="External"/><Relationship Id="rId1856" Type="http://schemas.openxmlformats.org/officeDocument/2006/relationships/hyperlink" Target="https://www.20minutos.es/noticia/3510387/0/abucheos-pedro-sanchez-congreso-aniversario-constitucion/?utm_source=twitter.com&amp;utm_medium=socialshare&amp;utm_campaign=mobile_web" TargetMode="External"/><Relationship Id="rId2907" Type="http://schemas.openxmlformats.org/officeDocument/2006/relationships/hyperlink" Target="https://www.abc.es/espana/abci-pedro-sanchez-llega-entre-abucheos-congreso-40-aniversario-constitucion-201812061227_noticia.html" TargetMode="External"/><Relationship Id="rId3071" Type="http://schemas.openxmlformats.org/officeDocument/2006/relationships/hyperlink" Target="https://pbs.twimg.com/media/Dtve8sBX4AQBz6e.jpg" TargetMode="External"/><Relationship Id="rId1509" Type="http://schemas.openxmlformats.org/officeDocument/2006/relationships/hyperlink" Target="https://www.elcorreodemadrid.com/opinion/618561635/Pedro-Sanchez-quiere-eliminar-la-inviolabilidad-del-Rey.-Por-Diego-Fierro-Rodriguez.html" TargetMode="External"/><Relationship Id="rId1716" Type="http://schemas.openxmlformats.org/officeDocument/2006/relationships/hyperlink" Target="http://losfosfonautas.blogspot.com.es/" TargetMode="External"/><Relationship Id="rId1923" Type="http://schemas.openxmlformats.org/officeDocument/2006/relationships/hyperlink" Target="https://pbs.twimg.com/media/DtzOF5FW0AA1vhw.jpg" TargetMode="External"/><Relationship Id="rId3169" Type="http://schemas.openxmlformats.org/officeDocument/2006/relationships/hyperlink" Target="https://www.nuevatribuna.es/opinion/victor-arrogante/tratado-de-utrecht-dos/20181202183720158032.html" TargetMode="External"/><Relationship Id="rId3376" Type="http://schemas.openxmlformats.org/officeDocument/2006/relationships/hyperlink" Target="https://www.zapper.news/news" TargetMode="External"/><Relationship Id="rId297" Type="http://schemas.openxmlformats.org/officeDocument/2006/relationships/hyperlink" Target="https://cordopolis.es/2018/12/08/nace-cordoba-20-30-para-despertar-a-la-ciudad-de-su-letargo/" TargetMode="External"/><Relationship Id="rId2185" Type="http://schemas.openxmlformats.org/officeDocument/2006/relationships/hyperlink" Target="https://pbs.twimg.com/media/Dtx4AFcXcAEDsEs.jpg" TargetMode="External"/><Relationship Id="rId2392" Type="http://schemas.openxmlformats.org/officeDocument/2006/relationships/hyperlink" Target="http://a.msn.com/01/es-es/BBQzFAI?ocid=st" TargetMode="External"/><Relationship Id="rId3029" Type="http://schemas.openxmlformats.org/officeDocument/2006/relationships/hyperlink" Target="http://www.antoniodelatorre.es/" TargetMode="External"/><Relationship Id="rId3236" Type="http://schemas.openxmlformats.org/officeDocument/2006/relationships/hyperlink" Target="https://elpais.com/politica/2018/12/04/actualidad/1543916726_658727.html" TargetMode="External"/><Relationship Id="rId157" Type="http://schemas.openxmlformats.org/officeDocument/2006/relationships/hyperlink" Target="https://www.20minutos.es/noticia/3511559/0/pedro-sanchez-proeuropeo-apoyarse-fuerzas-antieuropeistas-gobernar/?utm_source=twitter.com&amp;utm_medium=socialshare&amp;utm_campaign=mobile_web" TargetMode="External"/><Relationship Id="rId364" Type="http://schemas.openxmlformats.org/officeDocument/2006/relationships/hyperlink" Target="https://m.eldiario.es/3245823b_843416123/" TargetMode="External"/><Relationship Id="rId2045" Type="http://schemas.openxmlformats.org/officeDocument/2006/relationships/hyperlink" Target="http://dlvr.it/Qt2W9l" TargetMode="External"/><Relationship Id="rId2697" Type="http://schemas.openxmlformats.org/officeDocument/2006/relationships/hyperlink" Target="http://www.zapper.news/" TargetMode="External"/><Relationship Id="rId571" Type="http://schemas.openxmlformats.org/officeDocument/2006/relationships/hyperlink" Target="https://www.facebook.com/100009241843233/posts/2152667078384666/" TargetMode="External"/><Relationship Id="rId669" Type="http://schemas.openxmlformats.org/officeDocument/2006/relationships/hyperlink" Target="https://elpais.com/politica/2018/12/04/actualidad/1543916726_658727.html?id_externo_rsoc=TW_CC" TargetMode="External"/><Relationship Id="rId876" Type="http://schemas.openxmlformats.org/officeDocument/2006/relationships/hyperlink" Target="https://www.cope.es/n/306196" TargetMode="External"/><Relationship Id="rId1299" Type="http://schemas.openxmlformats.org/officeDocument/2006/relationships/hyperlink" Target="https://pbs.twimg.com/media/DtzbkWyWoAAgWZj.jpg" TargetMode="External"/><Relationship Id="rId2252" Type="http://schemas.openxmlformats.org/officeDocument/2006/relationships/hyperlink" Target="http://www.lasexta.com/" TargetMode="External"/><Relationship Id="rId2557" Type="http://schemas.openxmlformats.org/officeDocument/2006/relationships/hyperlink" Target="https://pbs.twimg.com/media/DtwmluSWoAA2cRa.jpg" TargetMode="External"/><Relationship Id="rId3303" Type="http://schemas.openxmlformats.org/officeDocument/2006/relationships/hyperlink" Target="http://www.e6d.es/" TargetMode="External"/><Relationship Id="rId224" Type="http://schemas.openxmlformats.org/officeDocument/2006/relationships/hyperlink" Target="https://pbs.twimg.com/media/Dt5kNt1WwAADRYo.jpg" TargetMode="External"/><Relationship Id="rId431" Type="http://schemas.openxmlformats.org/officeDocument/2006/relationships/hyperlink" Target="https://www.facebook.com/angelir.irunc.3" TargetMode="External"/><Relationship Id="rId529" Type="http://schemas.openxmlformats.org/officeDocument/2006/relationships/hyperlink" Target="https://www.elperiodico.cat/ca/politica/20181207/entrevista-jessica-albiach-si-pedro-sanchez-no-escolta-catalunya-acabara-com-susana-diaz-7188106?utm_source=twitter&amp;utm_medium=social" TargetMode="External"/><Relationship Id="rId736" Type="http://schemas.openxmlformats.org/officeDocument/2006/relationships/hyperlink" Target="https://www.mediterraneodigital.com/espana/espana/ridiculo-apoteosico-pedro-sanchez-pide-reformar-la-constitucion-para-incluir-un-articulo-que-ya-existe.html" TargetMode="External"/><Relationship Id="rId1061" Type="http://schemas.openxmlformats.org/officeDocument/2006/relationships/hyperlink" Target="https://www.republica.com/2018/12/07/pedro-sanchez-asistira-a-la-final-de-la-copa-libertadores-en-el-bernabeu/" TargetMode="External"/><Relationship Id="rId1159" Type="http://schemas.openxmlformats.org/officeDocument/2006/relationships/hyperlink" Target="https://www.libertaddigital.com/espana/2018-12-06/pedro-sanchez-desconoce-la-constitucion-pide-reformarla-para-incluir-la-igualdad-entre-hombres-y-mujeres-1276629507/" TargetMode="External"/><Relationship Id="rId1366" Type="http://schemas.openxmlformats.org/officeDocument/2006/relationships/hyperlink" Target="https://play.google.com/store/apps/details?id=com.infobae.androidAR&amp;hl=es_419" TargetMode="External"/><Relationship Id="rId2112" Type="http://schemas.openxmlformats.org/officeDocument/2006/relationships/hyperlink" Target="http://veoinfo.com/" TargetMode="External"/><Relationship Id="rId2417" Type="http://schemas.openxmlformats.org/officeDocument/2006/relationships/hyperlink" Target="http://videos.elmundo.es/v/0_lwslz5du-abucheos-a-pedro-sanchez" TargetMode="External"/><Relationship Id="rId2764" Type="http://schemas.openxmlformats.org/officeDocument/2006/relationships/hyperlink" Target="http://www.eleconomista.es/politica/noticias/9566705/12/18/Gran-pitada-a-Pedro-Sanchez-a-las-puertas-del-Congreso-en-el-aniversario-de-la-Constitucion.html" TargetMode="External"/><Relationship Id="rId2971" Type="http://schemas.openxmlformats.org/officeDocument/2006/relationships/hyperlink" Target="http://atres.red/eretz4" TargetMode="External"/><Relationship Id="rId943" Type="http://schemas.openxmlformats.org/officeDocument/2006/relationships/hyperlink" Target="http://www.europapress.es/" TargetMode="External"/><Relationship Id="rId1019" Type="http://schemas.openxmlformats.org/officeDocument/2006/relationships/hyperlink" Target="https://www.esdiario.com/452403351/Las-cifras-del-panico-asi-conduce-Pedro-Sanchez-al-precipicio-al-PSOE-.html" TargetMode="External"/><Relationship Id="rId1573" Type="http://schemas.openxmlformats.org/officeDocument/2006/relationships/hyperlink" Target="https://www.youtube.com/kyog86" TargetMode="External"/><Relationship Id="rId1780" Type="http://schemas.openxmlformats.org/officeDocument/2006/relationships/hyperlink" Target="http://dlvr.it/Qt3145" TargetMode="External"/><Relationship Id="rId1878" Type="http://schemas.openxmlformats.org/officeDocument/2006/relationships/hyperlink" Target="https://www.publico.es/politica/detenido-ultra-matanza-abogados-atocha-pedro-sanchez.html" TargetMode="External"/><Relationship Id="rId2624" Type="http://schemas.openxmlformats.org/officeDocument/2006/relationships/hyperlink" Target="https://www.libertaddigital.com/espana/2018-12-06/pedro-sanchez-desconoce-la-constitucion-pide-reformarla-para-incluir-la-igualdad-entre-hombres-y-mujeres-1276629507/" TargetMode="External"/><Relationship Id="rId2831" Type="http://schemas.openxmlformats.org/officeDocument/2006/relationships/hyperlink" Target="http://epmundo.com/2018/descontentos-asi-recibieron-a-pedro-sanchez-en-el-congreso-video/" TargetMode="External"/><Relationship Id="rId2929" Type="http://schemas.openxmlformats.org/officeDocument/2006/relationships/hyperlink" Target="https://www.20minutos.es/noticia/3510387/0/abucheos-pedro-sanchez-congreso-aniversario-constitucion/?utm_source=twitter.com&amp;utm_medium=socialshare&amp;utm_campaign=mobile_amp" TargetMode="External"/><Relationship Id="rId72" Type="http://schemas.openxmlformats.org/officeDocument/2006/relationships/hyperlink" Target="http://ver.abc.es/intbt1" TargetMode="External"/><Relationship Id="rId803" Type="http://schemas.openxmlformats.org/officeDocument/2006/relationships/hyperlink" Target="https://casoaislado.com/pedro-sanchez-ataca-a-vox-en-telecinco-la-mejor-opcion-para-andalucia-es-el-psoe/" TargetMode="External"/><Relationship Id="rId1226" Type="http://schemas.openxmlformats.org/officeDocument/2006/relationships/hyperlink" Target="http://www.horajaen.com/" TargetMode="External"/><Relationship Id="rId1433" Type="http://schemas.openxmlformats.org/officeDocument/2006/relationships/hyperlink" Target="http://iusport.com/" TargetMode="External"/><Relationship Id="rId1640" Type="http://schemas.openxmlformats.org/officeDocument/2006/relationships/hyperlink" Target="http://www.sevilla24horas.com/" TargetMode="External"/><Relationship Id="rId1738" Type="http://schemas.openxmlformats.org/officeDocument/2006/relationships/hyperlink" Target="http://www.carnavaldecadiz.com/" TargetMode="External"/><Relationship Id="rId3093" Type="http://schemas.openxmlformats.org/officeDocument/2006/relationships/hyperlink" Target="https://www.lavanguardia.com/politica/20181206/453397537702/pedro-sanchez-elecciones-reunion-quim-torra-21-de-diciembre.html?utm_source=twitter_lv&amp;utm_medium=social" TargetMode="External"/><Relationship Id="rId1500" Type="http://schemas.openxmlformats.org/officeDocument/2006/relationships/hyperlink" Target="https://www.esdiario.com/238196932/El-verdadero-CIS-de-Pedro-Sanchez-otro-espectacular-abucheo-en-el-Congreso.html" TargetMode="External"/><Relationship Id="rId1945" Type="http://schemas.openxmlformats.org/officeDocument/2006/relationships/hyperlink" Target="https://www.elindependiente.com/politica/2018/12/07/los-lideres-del-proces-exigen-bloque-al-supremo-juicio-sea-cataluna/?utm_source=share_buttons&amp;utm_medium=twitter&amp;utm_campaign=social_share" TargetMode="External"/><Relationship Id="rId3160" Type="http://schemas.openxmlformats.org/officeDocument/2006/relationships/hyperlink" Target="http://pic.twitter.com/n9hazpbZE9" TargetMode="External"/><Relationship Id="rId3398" Type="http://schemas.openxmlformats.org/officeDocument/2006/relationships/hyperlink" Target="http://www.lasexta.com/programas/al-rojo-vivo/" TargetMode="External"/><Relationship Id="rId1805" Type="http://schemas.openxmlformats.org/officeDocument/2006/relationships/hyperlink" Target="http://www.notinewsmiami.com/" TargetMode="External"/><Relationship Id="rId3020" Type="http://schemas.openxmlformats.org/officeDocument/2006/relationships/hyperlink" Target="http://bit.ly/2QdYdKA" TargetMode="External"/><Relationship Id="rId3258" Type="http://schemas.openxmlformats.org/officeDocument/2006/relationships/hyperlink" Target="https://buff.ly/2UjLxAh" TargetMode="External"/><Relationship Id="rId179" Type="http://schemas.openxmlformats.org/officeDocument/2006/relationships/hyperlink" Target="https://www.elconfidencial.com/espana/2014-07-10/pedro-sanchez-esconde-que-fue-consejero-de-la-asamblea-de-caja-madrid-con-blesa_159568/" TargetMode="External"/><Relationship Id="rId386" Type="http://schemas.openxmlformats.org/officeDocument/2006/relationships/hyperlink" Target="http://riazor.org/" TargetMode="External"/><Relationship Id="rId593" Type="http://schemas.openxmlformats.org/officeDocument/2006/relationships/hyperlink" Target="https://www.cope.es/n/306196" TargetMode="External"/><Relationship Id="rId2067" Type="http://schemas.openxmlformats.org/officeDocument/2006/relationships/hyperlink" Target="https://cronicadigitalcomarcalp.blogspot.com/2018/12/pedro-sanchez-confia-en-quedarse-con-el_7.html" TargetMode="External"/><Relationship Id="rId2274" Type="http://schemas.openxmlformats.org/officeDocument/2006/relationships/hyperlink" Target="http://www.sumarium.es/" TargetMode="External"/><Relationship Id="rId2481" Type="http://schemas.openxmlformats.org/officeDocument/2006/relationships/hyperlink" Target="http://pic.twitter.com/HM7spMfvmA" TargetMode="External"/><Relationship Id="rId3118" Type="http://schemas.openxmlformats.org/officeDocument/2006/relationships/hyperlink" Target="http://www.multiforo.eu/" TargetMode="External"/><Relationship Id="rId3325" Type="http://schemas.openxmlformats.org/officeDocument/2006/relationships/hyperlink" Target="http://lambertuscegatuscanal.wordpress.com/" TargetMode="External"/><Relationship Id="rId246" Type="http://schemas.openxmlformats.org/officeDocument/2006/relationships/hyperlink" Target="https://pbs.twimg.com/media/Dt5gSpbUUAEUBoC.jpg" TargetMode="External"/><Relationship Id="rId453" Type="http://schemas.openxmlformats.org/officeDocument/2006/relationships/hyperlink" Target="http://www.comerciojaen.com/" TargetMode="External"/><Relationship Id="rId660" Type="http://schemas.openxmlformats.org/officeDocument/2006/relationships/hyperlink" Target="https://www.redxcuba.org/" TargetMode="External"/><Relationship Id="rId898" Type="http://schemas.openxmlformats.org/officeDocument/2006/relationships/hyperlink" Target="https://www.cope.es/n/306196" TargetMode="External"/><Relationship Id="rId1083" Type="http://schemas.openxmlformats.org/officeDocument/2006/relationships/hyperlink" Target="http://www.teleprensa.com/" TargetMode="External"/><Relationship Id="rId1290" Type="http://schemas.openxmlformats.org/officeDocument/2006/relationships/hyperlink" Target="http://es.favstar.fm/users/norcatalan" TargetMode="External"/><Relationship Id="rId2134" Type="http://schemas.openxmlformats.org/officeDocument/2006/relationships/hyperlink" Target="http://ow.ly/MQwF30mTkMf" TargetMode="External"/><Relationship Id="rId2341" Type="http://schemas.openxmlformats.org/officeDocument/2006/relationships/hyperlink" Target="https://pbs.twimg.com/media/Dtw2-VSW0AESvq7.jpg" TargetMode="External"/><Relationship Id="rId2579" Type="http://schemas.openxmlformats.org/officeDocument/2006/relationships/hyperlink" Target="https://www.libertaddigital.com/espana/politica/2018-12-06/abuheo-general-a-pedro-sanchez-convoca-elecciones-1276629479/" TargetMode="External"/><Relationship Id="rId2786" Type="http://schemas.openxmlformats.org/officeDocument/2006/relationships/hyperlink" Target="https://www.diariodesevilla.es/andalucia/caidas-Susana-Diaz_0_1306969407.html" TargetMode="External"/><Relationship Id="rId2993" Type="http://schemas.openxmlformats.org/officeDocument/2006/relationships/hyperlink" Target="https://pbs.twimg.com/media/DtvvskKWwAEixbv.jpg" TargetMode="External"/><Relationship Id="rId106" Type="http://schemas.openxmlformats.org/officeDocument/2006/relationships/hyperlink" Target="https://www.eldiario.es/politica/Sanchez-alerta-extrema-derecha-europeas_0_844115822.html" TargetMode="External"/><Relationship Id="rId313" Type="http://schemas.openxmlformats.org/officeDocument/2006/relationships/hyperlink" Target="https://pbs.twimg.com/media/Dt5Q9qbX4AETM9-.jpg" TargetMode="External"/><Relationship Id="rId758" Type="http://schemas.openxmlformats.org/officeDocument/2006/relationships/hyperlink" Target="https://bit.ly/2QDwfY5" TargetMode="External"/><Relationship Id="rId965" Type="http://schemas.openxmlformats.org/officeDocument/2006/relationships/hyperlink" Target="http://www.elconfidencial.com/deportes/" TargetMode="External"/><Relationship Id="rId1150" Type="http://schemas.openxmlformats.org/officeDocument/2006/relationships/hyperlink" Target="https://pbs.twimg.com/media/Dt00ZnMVYAAuRDq.jpg" TargetMode="External"/><Relationship Id="rId1388" Type="http://schemas.openxmlformats.org/officeDocument/2006/relationships/hyperlink" Target="https://m.facebook.com/dmrlinares/" TargetMode="External"/><Relationship Id="rId1595" Type="http://schemas.openxmlformats.org/officeDocument/2006/relationships/hyperlink" Target="https://www.mediterraneodigital.com/espana/espana/ridiculo-apoteosico-pedro-sanchez-pide-reformar-la-constitucion-para-incluir-un-articulo-que-ya-existe.html" TargetMode="External"/><Relationship Id="rId2439" Type="http://schemas.openxmlformats.org/officeDocument/2006/relationships/hyperlink" Target="https://twitter.com/AboGuzmanCubero/status/1070785256314281985" TargetMode="External"/><Relationship Id="rId2646" Type="http://schemas.openxmlformats.org/officeDocument/2006/relationships/hyperlink" Target="https://www.libertaddigital.com/espana/2018-12-06/pedro-sanchez-desconoce-la-constitucion-pide-reformarla-para-incluir-la-igualdad-entre-hombres-y-mujeres-1276629507/" TargetMode="External"/><Relationship Id="rId2853" Type="http://schemas.openxmlformats.org/officeDocument/2006/relationships/hyperlink" Target="http://republica.com/" TargetMode="External"/><Relationship Id="rId94" Type="http://schemas.openxmlformats.org/officeDocument/2006/relationships/hyperlink" Target="https://pbs.twimg.com/media/Dt58ScpXcAAeFZT.jpg" TargetMode="External"/><Relationship Id="rId520" Type="http://schemas.openxmlformats.org/officeDocument/2006/relationships/hyperlink" Target="http://www.farmaciagonzalezvazquez.es/" TargetMode="External"/><Relationship Id="rId618" Type="http://schemas.openxmlformats.org/officeDocument/2006/relationships/hyperlink" Target="http://pic.twitter.com/Io5IK5etVp" TargetMode="External"/><Relationship Id="rId825" Type="http://schemas.openxmlformats.org/officeDocument/2006/relationships/hyperlink" Target="https://www.youtube.com/watch?v=IZfcG0rPxrs" TargetMode="External"/><Relationship Id="rId1248" Type="http://schemas.openxmlformats.org/officeDocument/2006/relationships/hyperlink" Target="http://epmundo.com/2018/el-bombazo-que-lanzo-pedro-sanchez-sobre-las-elecciones-generales/?utm_source=twitter&amp;utm_medium=social&amp;utm_campaign=ReviveOldPost" TargetMode="External"/><Relationship Id="rId1455" Type="http://schemas.openxmlformats.org/officeDocument/2006/relationships/hyperlink" Target="https://pbs.twimg.com/media/Dt0MDl5WsAIuvus.jpg" TargetMode="External"/><Relationship Id="rId1662" Type="http://schemas.openxmlformats.org/officeDocument/2006/relationships/hyperlink" Target="http://somgranollers.wordpress.com/" TargetMode="External"/><Relationship Id="rId2201" Type="http://schemas.openxmlformats.org/officeDocument/2006/relationships/hyperlink" Target="https://www.libertaddigital.com/espana/2018-12-06/pedro-sanchez-desconoce-la-constitucion-pide-reformarla-para-incluir-la-igualdad-entre-hombres-y-mujeres-1276629507/" TargetMode="External"/><Relationship Id="rId2506" Type="http://schemas.openxmlformats.org/officeDocument/2006/relationships/hyperlink" Target="http://ddsevilla.info/doqni2" TargetMode="External"/><Relationship Id="rId1010" Type="http://schemas.openxmlformats.org/officeDocument/2006/relationships/hyperlink" Target="http://www.cetm.es/" TargetMode="External"/><Relationship Id="rId1108" Type="http://schemas.openxmlformats.org/officeDocument/2006/relationships/hyperlink" Target="https://pbs.twimg.com/media/Dt09AwlWoAAfpXs.jpg" TargetMode="External"/><Relationship Id="rId1315" Type="http://schemas.openxmlformats.org/officeDocument/2006/relationships/hyperlink" Target="http://www.kfedigital.net/" TargetMode="External"/><Relationship Id="rId1967" Type="http://schemas.openxmlformats.org/officeDocument/2006/relationships/hyperlink" Target="http://mtr.cool/jjrzwky" TargetMode="External"/><Relationship Id="rId2713" Type="http://schemas.openxmlformats.org/officeDocument/2006/relationships/hyperlink" Target="https://www.esdiario.com/238196932/El-verdadero-CIS-de-Pedro-Sanchez-otro-espectacular-abucheo-en-el-Congreso.html" TargetMode="External"/><Relationship Id="rId2920" Type="http://schemas.openxmlformats.org/officeDocument/2006/relationships/hyperlink" Target="https://www.elperiodicodearagon.com/noticias/espana/pedro-sanchez-recibido-gritos-fuera-fuera_1328567.html" TargetMode="External"/><Relationship Id="rId1522" Type="http://schemas.openxmlformats.org/officeDocument/2006/relationships/hyperlink" Target="https://pbs.twimg.com/media/Dt0D1nRXgAAL0zR.jpg" TargetMode="External"/><Relationship Id="rId21" Type="http://schemas.openxmlformats.org/officeDocument/2006/relationships/hyperlink" Target="http://youtu.be/Q9MfBbVwvpg?a" TargetMode="External"/><Relationship Id="rId2089" Type="http://schemas.openxmlformats.org/officeDocument/2006/relationships/hyperlink" Target="https://pbs.twimg.com/media/Dty0pOAUwAAwoRn.jpg" TargetMode="External"/><Relationship Id="rId2296" Type="http://schemas.openxmlformats.org/officeDocument/2006/relationships/hyperlink" Target="https://www.periodistadigital.com/politica/gobierno/2018/12/06/begona-gomez-6-000-euros-de-nomina-mensual-de-una-empresa-en-la-que-no-trabaja.shtml" TargetMode="External"/><Relationship Id="rId3347" Type="http://schemas.openxmlformats.org/officeDocument/2006/relationships/hyperlink" Target="http://a.msn.com/01/es-es/BBQzFAI?ocid=st" TargetMode="External"/><Relationship Id="rId268" Type="http://schemas.openxmlformats.org/officeDocument/2006/relationships/hyperlink" Target="http://youtu.be/kUoYiZvnpdk?a" TargetMode="External"/><Relationship Id="rId475" Type="http://schemas.openxmlformats.org/officeDocument/2006/relationships/hyperlink" Target="http://www.periodistadigital.com/periodismo/radio/2018/12/05/losantos-manda-manicomio-pedro-sanchez-este-tio-esta-loco-sonrisa-fatua-parece-imbecil.shtml" TargetMode="External"/><Relationship Id="rId682" Type="http://schemas.openxmlformats.org/officeDocument/2006/relationships/hyperlink" Target="https://pbs.twimg.com/media/Dt2kJnhXgAArCyV.jpg" TargetMode="External"/><Relationship Id="rId2156" Type="http://schemas.openxmlformats.org/officeDocument/2006/relationships/hyperlink" Target="https://www.votoenblanco.com/Por-que-los-socialistas-decentes-no-echan-a-Pedro-Sanchez_a7283.html" TargetMode="External"/><Relationship Id="rId2363" Type="http://schemas.openxmlformats.org/officeDocument/2006/relationships/hyperlink" Target="http://eldiario.es/" TargetMode="External"/><Relationship Id="rId2570" Type="http://schemas.openxmlformats.org/officeDocument/2006/relationships/hyperlink" Target="https://twitter.com/LORENT_SALEH/status/1070726556295684096" TargetMode="External"/><Relationship Id="rId3207" Type="http://schemas.openxmlformats.org/officeDocument/2006/relationships/hyperlink" Target="https://m.facebook.com/?_rdr" TargetMode="External"/><Relationship Id="rId3414" Type="http://schemas.openxmlformats.org/officeDocument/2006/relationships/hyperlink" Target="https://www.facebook.com/TuiteoAragua" TargetMode="External"/><Relationship Id="rId128" Type="http://schemas.openxmlformats.org/officeDocument/2006/relationships/hyperlink" Target="http://www.multiforo.eu/" TargetMode="External"/><Relationship Id="rId335" Type="http://schemas.openxmlformats.org/officeDocument/2006/relationships/hyperlink" Target="http://okdiario.com/economia/2018/12/08/italia-credibilidad-presupuestos-pedro-sanchez-denunciar-ue-trato-discriminatorio-3437675" TargetMode="External"/><Relationship Id="rId542" Type="http://schemas.openxmlformats.org/officeDocument/2006/relationships/hyperlink" Target="http://okdiario.com/economia/2018/12/08/italia-credibilidad-presupuestos-pedro-sanchez-denunciar-ue-trato-discriminatorio-3437675" TargetMode="External"/><Relationship Id="rId1172" Type="http://schemas.openxmlformats.org/officeDocument/2006/relationships/hyperlink" Target="https://www.mediterraneodigital.com/espana/nacional/torra-ordena-a-los-mossos-que-no-actuen-contra-los-antifascistas-para-defender-a-vox.html" TargetMode="External"/><Relationship Id="rId2016" Type="http://schemas.openxmlformats.org/officeDocument/2006/relationships/hyperlink" Target="https://www.youtube.com/channel/UCY60GBj-H8SmayRG1UgDVWw" TargetMode="External"/><Relationship Id="rId2223" Type="http://schemas.openxmlformats.org/officeDocument/2006/relationships/hyperlink" Target="http://www.sumarium.es/" TargetMode="External"/><Relationship Id="rId2430" Type="http://schemas.openxmlformats.org/officeDocument/2006/relationships/hyperlink" Target="http://www.salvararchivosalamanca.es/" TargetMode="External"/><Relationship Id="rId402" Type="http://schemas.openxmlformats.org/officeDocument/2006/relationships/hyperlink" Target="https://twitter.com/RABAGOISABEL/status/1071324899300515840" TargetMode="External"/><Relationship Id="rId1032" Type="http://schemas.openxmlformats.org/officeDocument/2006/relationships/hyperlink" Target="https://www.eldiario.es/politica/Pedro-Sanchez-reforma-Constitucion-igualdad_0_843416144.html" TargetMode="External"/><Relationship Id="rId1989" Type="http://schemas.openxmlformats.org/officeDocument/2006/relationships/hyperlink" Target="http://www.lawyoulegal.com/" TargetMode="External"/><Relationship Id="rId1849" Type="http://schemas.openxmlformats.org/officeDocument/2006/relationships/hyperlink" Target="https://pbs.twimg.com/media/DtzYpbfXQAALp8e.jpg" TargetMode="External"/><Relationship Id="rId3064" Type="http://schemas.openxmlformats.org/officeDocument/2006/relationships/hyperlink" Target="https://pbs.twimg.com/media/DtvmzkEWwAIT3yR.jpg" TargetMode="External"/><Relationship Id="rId192" Type="http://schemas.openxmlformats.org/officeDocument/2006/relationships/hyperlink" Target="http://www.aemab.es/" TargetMode="External"/><Relationship Id="rId1709" Type="http://schemas.openxmlformats.org/officeDocument/2006/relationships/hyperlink" Target="http://videos.elmundo.es/v/0_lwslz5du-abucheos-a-pedro-sanchez" TargetMode="External"/><Relationship Id="rId1916" Type="http://schemas.openxmlformats.org/officeDocument/2006/relationships/hyperlink" Target="https://okdiario.com/espana/2018/12/07/pedro-sanchez-reformar-constitucion-incluir-igualdad-hombres-mujeres-articulo-14-desde-hace-40-anos-3437620" TargetMode="External"/><Relationship Id="rId3271" Type="http://schemas.openxmlformats.org/officeDocument/2006/relationships/hyperlink" Target="http://videos.elmundo.es/v/0_lwslz5du-abucheos-a-pedro-sanchez" TargetMode="External"/><Relationship Id="rId2080" Type="http://schemas.openxmlformats.org/officeDocument/2006/relationships/hyperlink" Target="https://okdiario.com/autor/liberal" TargetMode="External"/><Relationship Id="rId3131" Type="http://schemas.openxmlformats.org/officeDocument/2006/relationships/hyperlink" Target="http://youtu.be/nFoCtsJ5szw?a" TargetMode="External"/><Relationship Id="rId2897" Type="http://schemas.openxmlformats.org/officeDocument/2006/relationships/hyperlink" Target="http://eldiario.es/" TargetMode="External"/><Relationship Id="rId869" Type="http://schemas.openxmlformats.org/officeDocument/2006/relationships/hyperlink" Target="http://youtube.com/c/AndreaJDR" TargetMode="External"/><Relationship Id="rId1499" Type="http://schemas.openxmlformats.org/officeDocument/2006/relationships/hyperlink" Target="http://www.deportivo-la-coruna.com/page.php" TargetMode="External"/><Relationship Id="rId729" Type="http://schemas.openxmlformats.org/officeDocument/2006/relationships/hyperlink" Target="http://bit.ly/2UoMmrB" TargetMode="External"/><Relationship Id="rId1359" Type="http://schemas.openxmlformats.org/officeDocument/2006/relationships/hyperlink" Target="https://www.diaribalear.es/pesos-pesados-del-actual-gobierno-piden-a-pedro-sanchez-que-convoque-ya-las-elecciones/" TargetMode="External"/><Relationship Id="rId2757" Type="http://schemas.openxmlformats.org/officeDocument/2006/relationships/hyperlink" Target="https://www.libertaddigital.com/espana/2018-12-06/pedro-sanchez-descarta-elecciones-en-marzo-pero-abre-la-puerta-a-mayo-1276629489/" TargetMode="External"/><Relationship Id="rId2964" Type="http://schemas.openxmlformats.org/officeDocument/2006/relationships/hyperlink" Target="http://dlvr.it/Qszx3V" TargetMode="External"/><Relationship Id="rId936" Type="http://schemas.openxmlformats.org/officeDocument/2006/relationships/hyperlink" Target="http://www.alertadigital.com/2018/12/07/que-tiene-pedro-sanchez-contra-su-suegro-el-psoe-propone-multar-a-los-clientes-de-la-prostitucion/" TargetMode="External"/><Relationship Id="rId1219" Type="http://schemas.openxmlformats.org/officeDocument/2006/relationships/hyperlink" Target="http://pic.twitter.com/VCDbwCHpnz" TargetMode="External"/><Relationship Id="rId1566" Type="http://schemas.openxmlformats.org/officeDocument/2006/relationships/hyperlink" Target="https://www.cope.es/programas/herrera-en-cope/audios/palo-rosa-diez-pedro-sanchez-cuenta-vox-20181207_591495" TargetMode="External"/><Relationship Id="rId1773" Type="http://schemas.openxmlformats.org/officeDocument/2006/relationships/hyperlink" Target="http://pic.twitter.com/HvVyHcCdi7" TargetMode="External"/><Relationship Id="rId1980" Type="http://schemas.openxmlformats.org/officeDocument/2006/relationships/hyperlink" Target="http://www.japalpilpa.com/" TargetMode="External"/><Relationship Id="rId2617" Type="http://schemas.openxmlformats.org/officeDocument/2006/relationships/hyperlink" Target="https://www.libertaddigital.com/espana/2018-12-06/pedro-sanchez-desconoce-la-constitucion-pide-reformarla-para-incluir-la-igualdad-entre-hombres-y-mujeres-1276629507/" TargetMode="External"/><Relationship Id="rId2824" Type="http://schemas.openxmlformats.org/officeDocument/2006/relationships/hyperlink" Target="http://www.elnortedecastilla.es/" TargetMode="External"/><Relationship Id="rId65" Type="http://schemas.openxmlformats.org/officeDocument/2006/relationships/hyperlink" Target="http://pic.twitter.com/Rl3Ogq5o5T" TargetMode="External"/><Relationship Id="rId1426" Type="http://schemas.openxmlformats.org/officeDocument/2006/relationships/hyperlink" Target="https://ift.tt/2rrb79q" TargetMode="External"/><Relationship Id="rId1633" Type="http://schemas.openxmlformats.org/officeDocument/2006/relationships/hyperlink" Target="http://j.mp/2Qllyu7" TargetMode="External"/><Relationship Id="rId1840" Type="http://schemas.openxmlformats.org/officeDocument/2006/relationships/hyperlink" Target="http://bit.ly/2RHI7pd" TargetMode="External"/><Relationship Id="rId1700" Type="http://schemas.openxmlformats.org/officeDocument/2006/relationships/hyperlink" Target="https://www.20minutos.es/noticia/3510387/0/abucheos-pedro-sanchez-congreso-aniversario-constitucion/" TargetMode="External"/><Relationship Id="rId379" Type="http://schemas.openxmlformats.org/officeDocument/2006/relationships/hyperlink" Target="https://pbs.twimg.com/media/Dt48-npU4AAcAoy.jpg" TargetMode="External"/><Relationship Id="rId586" Type="http://schemas.openxmlformats.org/officeDocument/2006/relationships/hyperlink" Target="http://epmundo.com/2018/el-bombazo-que-lanzo-pedro-sanchez-sobre-las-elecciones-generales/" TargetMode="External"/><Relationship Id="rId793" Type="http://schemas.openxmlformats.org/officeDocument/2006/relationships/hyperlink" Target="https://www.facebook.com/martin.brunetpuigbo" TargetMode="External"/><Relationship Id="rId2267" Type="http://schemas.openxmlformats.org/officeDocument/2006/relationships/hyperlink" Target="http://www.infomalaga.com/" TargetMode="External"/><Relationship Id="rId2474" Type="http://schemas.openxmlformats.org/officeDocument/2006/relationships/hyperlink" Target="https://blogs.elconfidencial.com/espana/desde-fuera/2018-12-06/elecciones-andalucia-pedro-sanchez-susana-diaz-culpable-hundimiento-titanic-socialista_1688542/?utm_source=twitter&amp;utm_medium=social&amp;utm_campaign=BotoneraWeb" TargetMode="External"/><Relationship Id="rId2681" Type="http://schemas.openxmlformats.org/officeDocument/2006/relationships/hyperlink" Target="https://amp.20minutos.es/noticia/3510387/0/abucheos-pedro-sanchez-congreso-aniversario-constitucion/" TargetMode="External"/><Relationship Id="rId3318" Type="http://schemas.openxmlformats.org/officeDocument/2006/relationships/hyperlink" Target="https://www.elcorreo.com/40-aniversario-constitucion/pedro-sanchez-lleva-20181206123919-ntrc.html" TargetMode="External"/><Relationship Id="rId239" Type="http://schemas.openxmlformats.org/officeDocument/2006/relationships/hyperlink" Target="https://bit.ly/2zNhJDA" TargetMode="External"/><Relationship Id="rId446" Type="http://schemas.openxmlformats.org/officeDocument/2006/relationships/hyperlink" Target="https://www.elperiodico.com/es/politica/20181207/entrevista-jessica-albiach-si-pedro-sanchez-no-escucha-catalunya-acabara-como-susana-diaz-7188106?utm_source=twitter&amp;utm_medium=social" TargetMode="External"/><Relationship Id="rId653" Type="http://schemas.openxmlformats.org/officeDocument/2006/relationships/hyperlink" Target="http://pic.twitter.com/h8QFQb9Zn1" TargetMode="External"/><Relationship Id="rId1076" Type="http://schemas.openxmlformats.org/officeDocument/2006/relationships/hyperlink" Target="http://www.multiforo.eu/Noticias/2018/Diciembre/Diciembre_07.htm" TargetMode="External"/><Relationship Id="rId1283" Type="http://schemas.openxmlformats.org/officeDocument/2006/relationships/hyperlink" Target="http://www.lasexta.com/" TargetMode="External"/><Relationship Id="rId1490" Type="http://schemas.openxmlformats.org/officeDocument/2006/relationships/hyperlink" Target="https://okdiario.com/espana/2018/11/30/sanchez-tiene-plan-b-busca-sitio-europa-donde-colocarse-si-pierde-moncloa-3406764" TargetMode="External"/><Relationship Id="rId2127" Type="http://schemas.openxmlformats.org/officeDocument/2006/relationships/hyperlink" Target="http://www.sumarium.es/" TargetMode="External"/><Relationship Id="rId2334" Type="http://schemas.openxmlformats.org/officeDocument/2006/relationships/hyperlink" Target="https://m.facebook.com/?_rdr" TargetMode="External"/><Relationship Id="rId306" Type="http://schemas.openxmlformats.org/officeDocument/2006/relationships/hyperlink" Target="https://www.cope.es/n/306196" TargetMode="External"/><Relationship Id="rId860" Type="http://schemas.openxmlformats.org/officeDocument/2006/relationships/hyperlink" Target="https://elpais.com/politica/2018/12/04/actualidad/1543916726_658727.html" TargetMode="External"/><Relationship Id="rId1143" Type="http://schemas.openxmlformats.org/officeDocument/2006/relationships/hyperlink" Target="https://pbs.twimg.com/media/Dt01tqMWkAA0qBM.jpg" TargetMode="External"/><Relationship Id="rId2541" Type="http://schemas.openxmlformats.org/officeDocument/2006/relationships/hyperlink" Target="http://bit.ly/2AWSONA" TargetMode="External"/><Relationship Id="rId513" Type="http://schemas.openxmlformats.org/officeDocument/2006/relationships/hyperlink" Target="https://www.cope.es/n/306196" TargetMode="External"/><Relationship Id="rId720" Type="http://schemas.openxmlformats.org/officeDocument/2006/relationships/hyperlink" Target="https://www.elmundo.es/espana/2016/09/27/57eab819268e3eb25b8b45e0.html" TargetMode="External"/><Relationship Id="rId1350" Type="http://schemas.openxmlformats.org/officeDocument/2006/relationships/hyperlink" Target="http://www.uruguayaltoque.uy/" TargetMode="External"/><Relationship Id="rId2401" Type="http://schemas.openxmlformats.org/officeDocument/2006/relationships/hyperlink" Target="http://www.citizengo.org/hazteoir/166670-no-expolie-por-segunda-vez-archivo-salamanca?tc=tw&amp;tcid=52562403" TargetMode="External"/><Relationship Id="rId1003" Type="http://schemas.openxmlformats.org/officeDocument/2006/relationships/hyperlink" Target="http://www.noticierouniversal.com/" TargetMode="External"/><Relationship Id="rId1210" Type="http://schemas.openxmlformats.org/officeDocument/2006/relationships/hyperlink" Target="http://www.pressdigital.es/" TargetMode="External"/><Relationship Id="rId3175" Type="http://schemas.openxmlformats.org/officeDocument/2006/relationships/hyperlink" Target="https://elobrero.es/opinion/item/22079-tratado-de-utrecht-dos.html" TargetMode="External"/><Relationship Id="rId3382" Type="http://schemas.openxmlformats.org/officeDocument/2006/relationships/hyperlink" Target="http://a.msn.com/01/es-es/BBQzFAI?ocid=st" TargetMode="External"/><Relationship Id="rId2191" Type="http://schemas.openxmlformats.org/officeDocument/2006/relationships/hyperlink" Target="https://bit.ly/2Sx3CJn" TargetMode="External"/><Relationship Id="rId3035" Type="http://schemas.openxmlformats.org/officeDocument/2006/relationships/hyperlink" Target="http://www.diariovasco.com/" TargetMode="External"/><Relationship Id="rId3242" Type="http://schemas.openxmlformats.org/officeDocument/2006/relationships/hyperlink" Target="https://www.facebook.com/profile.php?id=100006184578326" TargetMode="External"/><Relationship Id="rId163" Type="http://schemas.openxmlformats.org/officeDocument/2006/relationships/hyperlink" Target="http://ver.20m.es/jw02d2" TargetMode="External"/><Relationship Id="rId370" Type="http://schemas.openxmlformats.org/officeDocument/2006/relationships/hyperlink" Target="http://www.volvamosaserpsc-psoe.blogspot.com/" TargetMode="External"/><Relationship Id="rId2051" Type="http://schemas.openxmlformats.org/officeDocument/2006/relationships/hyperlink" Target="https://pbs.twimg.com/media/Dty6nMIW4AAh641.jpg" TargetMode="External"/><Relationship Id="rId3102" Type="http://schemas.openxmlformats.org/officeDocument/2006/relationships/hyperlink" Target="https://cronicadigitalcomarcalp.blogspot.com/2018/12/pedro-sanchez-sobre-la-posibilidad-de.html" TargetMode="External"/><Relationship Id="rId230" Type="http://schemas.openxmlformats.org/officeDocument/2006/relationships/hyperlink" Target="https://pbs.twimg.com/media/Dt5kA9uU0AE73Sl.jpg" TargetMode="External"/><Relationship Id="rId2868" Type="http://schemas.openxmlformats.org/officeDocument/2006/relationships/hyperlink" Target="http://j.mp/2EeU7LT" TargetMode="External"/><Relationship Id="rId1677" Type="http://schemas.openxmlformats.org/officeDocument/2006/relationships/hyperlink" Target="http://triangol.agency/" TargetMode="External"/><Relationship Id="rId1884" Type="http://schemas.openxmlformats.org/officeDocument/2006/relationships/hyperlink" Target="http://www.josesimongracia.es/" TargetMode="External"/><Relationship Id="rId2728" Type="http://schemas.openxmlformats.org/officeDocument/2006/relationships/hyperlink" Target="http://dlvr.it/Qt0Wzq" TargetMode="External"/><Relationship Id="rId2935" Type="http://schemas.openxmlformats.org/officeDocument/2006/relationships/hyperlink" Target="http://atres.red/kfvmr3" TargetMode="External"/><Relationship Id="rId907" Type="http://schemas.openxmlformats.org/officeDocument/2006/relationships/hyperlink" Target="https://www.cope.es/n/306196" TargetMode="External"/><Relationship Id="rId1537" Type="http://schemas.openxmlformats.org/officeDocument/2006/relationships/hyperlink" Target="https://pbs.twimg.com/media/Dt0CG2JWoAA6GwU.jpg" TargetMode="External"/><Relationship Id="rId1744" Type="http://schemas.openxmlformats.org/officeDocument/2006/relationships/hyperlink" Target="https://www.facebook.com/profile.php?id=100011075051553" TargetMode="External"/><Relationship Id="rId1951" Type="http://schemas.openxmlformats.org/officeDocument/2006/relationships/hyperlink" Target="http://pic.twitter.com/u7Ha1RnDAR" TargetMode="External"/><Relationship Id="rId36" Type="http://schemas.openxmlformats.org/officeDocument/2006/relationships/hyperlink" Target="https://www.abc.es/espana/abci-pedro-sanchez-alerta-auge-extrema-derecha-europa-201812081647_noticia.html" TargetMode="External"/><Relationship Id="rId1604" Type="http://schemas.openxmlformats.org/officeDocument/2006/relationships/hyperlink" Target="https://magnet.xataka.com/en-diez-minutos/pedro-sanchez-quiere-incluir-igualdad-hombres-mujeres-constitucion-aparece" TargetMode="External"/><Relationship Id="rId1811" Type="http://schemas.openxmlformats.org/officeDocument/2006/relationships/hyperlink" Target="https://okdiario.com/espana/2018/12/07/pedro-sanchez-reformar-constitucion-incluir-igualdad-hombres-mujeres-articulo-14-desde-hace-40-anos-3437620" TargetMode="External"/><Relationship Id="rId697" Type="http://schemas.openxmlformats.org/officeDocument/2006/relationships/hyperlink" Target="http://www.unicanal.com.py/" TargetMode="External"/><Relationship Id="rId2378" Type="http://schemas.openxmlformats.org/officeDocument/2006/relationships/hyperlink" Target="https://adaequatiomentisadmentus.wordpress.com/" TargetMode="External"/><Relationship Id="rId3429" Type="http://schemas.openxmlformats.org/officeDocument/2006/relationships/hyperlink" Target="https://twitter.com/sanchezcastejon/status/1070594097252065280" TargetMode="External"/><Relationship Id="rId1187" Type="http://schemas.openxmlformats.org/officeDocument/2006/relationships/hyperlink" Target="https://www.abc.es/deportes/futbol/abci-pedro-sanchez-asistira-final-bernabeu-201812071351_noticia.html" TargetMode="External"/><Relationship Id="rId2585" Type="http://schemas.openxmlformats.org/officeDocument/2006/relationships/hyperlink" Target="https://www.youtube.com/watch?v=z6pF1CwjKpA" TargetMode="External"/><Relationship Id="rId2792" Type="http://schemas.openxmlformats.org/officeDocument/2006/relationships/hyperlink" Target="http://www.sumarium.es/" TargetMode="External"/><Relationship Id="rId557" Type="http://schemas.openxmlformats.org/officeDocument/2006/relationships/hyperlink" Target="http://www.ijaen.es/texto-diario/mostrar/1274751/conocen-premiados-cuchara-palo-2018" TargetMode="External"/><Relationship Id="rId764" Type="http://schemas.openxmlformats.org/officeDocument/2006/relationships/hyperlink" Target="https://elpais.com/politica/2018/12/06/actualidad/1544108922_690929.html?id_externo_rsoc=TW_CC" TargetMode="External"/><Relationship Id="rId971" Type="http://schemas.openxmlformats.org/officeDocument/2006/relationships/hyperlink" Target="https://www.europapress.es/nacional/noticia-pedro-sanchez-ve-necesario-testimonio-victimas-terrorismo-nadie-nunca-cambie-historia-20181207184644.html" TargetMode="External"/><Relationship Id="rId1394" Type="http://schemas.openxmlformats.org/officeDocument/2006/relationships/hyperlink" Target="http://epmundo.com/2018/descontentos-asi-recibieron-a-pedro-sanchez-en-el-congreso-video/" TargetMode="External"/><Relationship Id="rId2238" Type="http://schemas.openxmlformats.org/officeDocument/2006/relationships/hyperlink" Target="https://www.libertaddigital.com/espana/2018-12-06/pedro-sanchez-desconoce-la-constitucion-pide-reformarla-para-incluir-la-igualdad-entre-hombres-y-mujeres-1276629507/" TargetMode="External"/><Relationship Id="rId2445" Type="http://schemas.openxmlformats.org/officeDocument/2006/relationships/hyperlink" Target="http://pic.twitter.com/20yF6WPkHy" TargetMode="External"/><Relationship Id="rId2652" Type="http://schemas.openxmlformats.org/officeDocument/2006/relationships/hyperlink" Target="https://www.libertaddigital.com/espana/2018-12-06/pedro-sanchez-desconoce-la-constitucion-pide-reformarla-para-incluir-la-igualdad-entre-hombres-y-mujeres-1276629507/" TargetMode="External"/><Relationship Id="rId417" Type="http://schemas.openxmlformats.org/officeDocument/2006/relationships/hyperlink" Target="https://twitter.com/RobertooFinch/status/1071348425394921472" TargetMode="External"/><Relationship Id="rId624" Type="http://schemas.openxmlformats.org/officeDocument/2006/relationships/hyperlink" Target="http://mundosport.ml/" TargetMode="External"/><Relationship Id="rId831" Type="http://schemas.openxmlformats.org/officeDocument/2006/relationships/hyperlink" Target="http://ivanlosadablog.wordpress.com/" TargetMode="External"/><Relationship Id="rId1047" Type="http://schemas.openxmlformats.org/officeDocument/2006/relationships/hyperlink" Target="https://www.facebook.com/indaok/" TargetMode="External"/><Relationship Id="rId1254" Type="http://schemas.openxmlformats.org/officeDocument/2006/relationships/hyperlink" Target="http://pic.twitter.com/2pJ67KXIgj" TargetMode="External"/><Relationship Id="rId1461" Type="http://schemas.openxmlformats.org/officeDocument/2006/relationships/hyperlink" Target="https://decine21.com/noticias/116898-el-presidente-de-mexico-renuncia-a-su-residencia-oficial-y-se-convierte-en-centro-cultural-con-proyecciones-de-roma" TargetMode="External"/><Relationship Id="rId2305" Type="http://schemas.openxmlformats.org/officeDocument/2006/relationships/hyperlink" Target="https://www.libertaddigital.com/espana/politica/2018-12-06/abuheo-general-a-pedro-sanchez-convoca-elecciones-1276629479/" TargetMode="External"/><Relationship Id="rId2512" Type="http://schemas.openxmlformats.org/officeDocument/2006/relationships/hyperlink" Target="http://ddsevilla.info/doqni2" TargetMode="External"/><Relationship Id="rId1114" Type="http://schemas.openxmlformats.org/officeDocument/2006/relationships/hyperlink" Target="http://page.is/larevuelo53" TargetMode="External"/><Relationship Id="rId1321" Type="http://schemas.openxmlformats.org/officeDocument/2006/relationships/hyperlink" Target="https://www.ivoox.com/escuchar-audios-deportes-3_al_12862377_1.html" TargetMode="External"/><Relationship Id="rId3079" Type="http://schemas.openxmlformats.org/officeDocument/2006/relationships/hyperlink" Target="https://pbs.twimg.com/media/DtvknWgX4AETj_-.png" TargetMode="External"/><Relationship Id="rId3286" Type="http://schemas.openxmlformats.org/officeDocument/2006/relationships/hyperlink" Target="http://www.eliceberg.com/" TargetMode="External"/><Relationship Id="rId2095" Type="http://schemas.openxmlformats.org/officeDocument/2006/relationships/hyperlink" Target="http://paper.li/lobo_solito/1343408781" TargetMode="External"/><Relationship Id="rId3146" Type="http://schemas.openxmlformats.org/officeDocument/2006/relationships/hyperlink" Target="https://pbs.twimg.com/media/Dtve0KkX4AEwItQ.jpg" TargetMode="External"/><Relationship Id="rId3353" Type="http://schemas.openxmlformats.org/officeDocument/2006/relationships/hyperlink" Target="https://www.facebook.com/pages/Espa%C3%B1oles-y-Venezolanos-Anti-Podemos/885396501484393?sk=timeline" TargetMode="External"/><Relationship Id="rId274" Type="http://schemas.openxmlformats.org/officeDocument/2006/relationships/hyperlink" Target="http://www.deportivo-la-coruna.com/page.php" TargetMode="External"/><Relationship Id="rId481" Type="http://schemas.openxmlformats.org/officeDocument/2006/relationships/hyperlink" Target="http://el-petirrojo-y-yo.es/" TargetMode="External"/><Relationship Id="rId2162" Type="http://schemas.openxmlformats.org/officeDocument/2006/relationships/hyperlink" Target="http://www.abc.es/" TargetMode="External"/><Relationship Id="rId3006" Type="http://schemas.openxmlformats.org/officeDocument/2006/relationships/hyperlink" Target="https://pbs.twimg.com/media/DtvuLZoX4AEtYGu.jpg" TargetMode="External"/><Relationship Id="rId134" Type="http://schemas.openxmlformats.org/officeDocument/2006/relationships/hyperlink" Target="http://listas.20minutos.es/otros/" TargetMode="External"/><Relationship Id="rId3213" Type="http://schemas.openxmlformats.org/officeDocument/2006/relationships/hyperlink" Target="http://www.lextres.com/" TargetMode="External"/><Relationship Id="rId3420" Type="http://schemas.openxmlformats.org/officeDocument/2006/relationships/hyperlink" Target="http://www.blogdezeltia.com/" TargetMode="External"/><Relationship Id="rId341" Type="http://schemas.openxmlformats.org/officeDocument/2006/relationships/hyperlink" Target="http://www.alertadigital.com/2018/12/07/que-tiene-pedro-sanchez-contra-su-suegro-el-psoe-propone-multar-a-los-clientes-de-la-prostitucion/" TargetMode="External"/><Relationship Id="rId2022" Type="http://schemas.openxmlformats.org/officeDocument/2006/relationships/hyperlink" Target="https://www.publico.es/politica/detenido-ultra-matanza-abogados-atocha-pedro-sanchez.html?utm_source=twitter&amp;utm_medium=social&amp;utm_campaign=publico" TargetMode="External"/><Relationship Id="rId2979" Type="http://schemas.openxmlformats.org/officeDocument/2006/relationships/hyperlink" Target="http://youtu.be/N-yRPA2j1rk?a" TargetMode="External"/><Relationship Id="rId201" Type="http://schemas.openxmlformats.org/officeDocument/2006/relationships/hyperlink" Target="https://okdiario.com/economia/2018/12/08/italia-credibilidad-presupuestos-pedro-sanchez-denunciar-ue-trato-discriminatorio-3437675" TargetMode="External"/><Relationship Id="rId1788" Type="http://schemas.openxmlformats.org/officeDocument/2006/relationships/hyperlink" Target="https://www.facebook.com/groups/1337765856291794/" TargetMode="External"/><Relationship Id="rId1995" Type="http://schemas.openxmlformats.org/officeDocument/2006/relationships/hyperlink" Target="https://www.libertaddigital.com/espana/politica/2018-12-06/abuheo-general-a-pedro-sanchez-convoca-elecciones-1276629479/" TargetMode="External"/><Relationship Id="rId2839" Type="http://schemas.openxmlformats.org/officeDocument/2006/relationships/hyperlink" Target="https://pbs.twimg.com/media/DtmqbvNW0AIvwkQ.jpg" TargetMode="External"/><Relationship Id="rId1648" Type="http://schemas.openxmlformats.org/officeDocument/2006/relationships/hyperlink" Target="https://www.cope.es/n/306196" TargetMode="External"/><Relationship Id="rId1508" Type="http://schemas.openxmlformats.org/officeDocument/2006/relationships/hyperlink" Target="https://www.lainformacion.com/economia-negocios-y-finanzas/laboral/sanchez-decreto-reforma-laboral-empresarios-ceoe/6445847?utm_source=twitter.com&amp;utm_medium=socialshare&amp;utm_campaign=mobile_amp" TargetMode="External"/><Relationship Id="rId1855" Type="http://schemas.openxmlformats.org/officeDocument/2006/relationships/hyperlink" Target="https://www.libremercado.com/2018-12-07/el-populismo-de-pedro-sanchez-se-extiende-al-sector-energetico-1276629287/" TargetMode="External"/><Relationship Id="rId2906" Type="http://schemas.openxmlformats.org/officeDocument/2006/relationships/hyperlink" Target="http://listas.20minutos.es/otros/" TargetMode="External"/><Relationship Id="rId3070" Type="http://schemas.openxmlformats.org/officeDocument/2006/relationships/hyperlink" Target="http://bit.ly/2KYOhPm" TargetMode="External"/><Relationship Id="rId1715" Type="http://schemas.openxmlformats.org/officeDocument/2006/relationships/hyperlink" Target="https://www.cope.es/a/591495" TargetMode="External"/><Relationship Id="rId1922" Type="http://schemas.openxmlformats.org/officeDocument/2006/relationships/hyperlink" Target="http://www.rtve.es/alacarta/videos/informativo-telerioja/informativo-telerioja-05-12-18/4874580/" TargetMode="External"/><Relationship Id="rId2489" Type="http://schemas.openxmlformats.org/officeDocument/2006/relationships/hyperlink" Target="http://www.ferrerdesansegundo.com/" TargetMode="External"/><Relationship Id="rId2696" Type="http://schemas.openxmlformats.org/officeDocument/2006/relationships/hyperlink" Target="https://www.zapper.news/news?tpost=251109&amp;taccount=zapper_news" TargetMode="External"/><Relationship Id="rId668" Type="http://schemas.openxmlformats.org/officeDocument/2006/relationships/hyperlink" Target="https://pbs.twimg.com/media/Dt2tElvWsAEXexn.jpg" TargetMode="External"/><Relationship Id="rId875" Type="http://schemas.openxmlformats.org/officeDocument/2006/relationships/hyperlink" Target="http://www.elmundo.es/espana.html" TargetMode="External"/><Relationship Id="rId1298" Type="http://schemas.openxmlformats.org/officeDocument/2006/relationships/hyperlink" Target="https://twitter.com/RafaelFresmel/status/1070972242757148673" TargetMode="External"/><Relationship Id="rId2349" Type="http://schemas.openxmlformats.org/officeDocument/2006/relationships/hyperlink" Target="http://www.periodistadigital.com/politica/gobierno/2018/11/09/el-oculto-motivo-por-el-que-pedro-sanchez-y-su-mujer-han-conseguido-un-chollazo-de-hipoteca.shtml" TargetMode="External"/><Relationship Id="rId2556" Type="http://schemas.openxmlformats.org/officeDocument/2006/relationships/hyperlink" Target="http://bit.ly/2Qjg82I" TargetMode="External"/><Relationship Id="rId2763" Type="http://schemas.openxmlformats.org/officeDocument/2006/relationships/hyperlink" Target="https://www.youtube.com/channel/UCY60GBj-H8SmayRG1UgDVWw" TargetMode="External"/><Relationship Id="rId2970" Type="http://schemas.openxmlformats.org/officeDocument/2006/relationships/hyperlink" Target="http://www.abc.es/" TargetMode="External"/><Relationship Id="rId528" Type="http://schemas.openxmlformats.org/officeDocument/2006/relationships/hyperlink" Target="https://twitter.com/perezreverte/status/1071045025642020869" TargetMode="External"/><Relationship Id="rId735" Type="http://schemas.openxmlformats.org/officeDocument/2006/relationships/hyperlink" Target="https://youtu.be/6A3AS5oavA0" TargetMode="External"/><Relationship Id="rId942" Type="http://schemas.openxmlformats.org/officeDocument/2006/relationships/hyperlink" Target="https://pbs.twimg.com/media/Dt1dMj-XcAE1P_G.jpg" TargetMode="External"/><Relationship Id="rId1158" Type="http://schemas.openxmlformats.org/officeDocument/2006/relationships/hyperlink" Target="https://pbs.twimg.com/media/Dt0zoyWWsAADSAQ.jpg" TargetMode="External"/><Relationship Id="rId1365" Type="http://schemas.openxmlformats.org/officeDocument/2006/relationships/hyperlink" Target="https://pbs.twimg.com/media/Dt0Vc0aU0AA2nXi.jpg" TargetMode="External"/><Relationship Id="rId1572" Type="http://schemas.openxmlformats.org/officeDocument/2006/relationships/hyperlink" Target="http://pic.twitter.com/yfrp7ITfy1" TargetMode="External"/><Relationship Id="rId2209" Type="http://schemas.openxmlformats.org/officeDocument/2006/relationships/hyperlink" Target="http://www.lextres.com/" TargetMode="External"/><Relationship Id="rId2416" Type="http://schemas.openxmlformats.org/officeDocument/2006/relationships/hyperlink" Target="https://www.libertaddigital.com/espana/2018-12-06/pedro-sanchez-descarta-elecciones-en-marzo-pero-abre-la-puerta-a-mayo-1276629489/" TargetMode="External"/><Relationship Id="rId2623" Type="http://schemas.openxmlformats.org/officeDocument/2006/relationships/hyperlink" Target="https://www.libertaddigital.com/espana/2018-12-06/pedro-sanchez-desconoce-la-constitucion-pide-reformarla-para-incluir-la-igualdad-entre-hombres-y-mujeres-1276629507/" TargetMode="External"/><Relationship Id="rId1018" Type="http://schemas.openxmlformats.org/officeDocument/2006/relationships/hyperlink" Target="http://infobae.com/" TargetMode="External"/><Relationship Id="rId1225" Type="http://schemas.openxmlformats.org/officeDocument/2006/relationships/hyperlink" Target="https://www.horajaen.com/2018/12/07/el-presidente-de-freixenet-o-el-cocinero-pedro-sanchez-premios-cuchara-de-palo/" TargetMode="External"/><Relationship Id="rId1432" Type="http://schemas.openxmlformats.org/officeDocument/2006/relationships/hyperlink" Target="https://pbs.twimg.com/media/Dt0OFY9UcAAZ8YV.jpg" TargetMode="External"/><Relationship Id="rId2830" Type="http://schemas.openxmlformats.org/officeDocument/2006/relationships/hyperlink" Target="https://www.elperiodico.com/es/politica/20181206/sanchez-constitucion-igualdad-mujeres-7188146?utm_campaign=notificaciones-web&amp;utm_source=pushwoosh&amp;utm_medium=alerta&amp;utm_content=https://www.elperiodico.com/es/politica/20181206/sanchez-constitucion-igualdad-mujeres-7188146" TargetMode="External"/><Relationship Id="rId71" Type="http://schemas.openxmlformats.org/officeDocument/2006/relationships/hyperlink" Target="http://abc.es/" TargetMode="External"/><Relationship Id="rId802" Type="http://schemas.openxmlformats.org/officeDocument/2006/relationships/hyperlink" Target="http://www.huffingtonpost.com/arturo-lopez-levy/" TargetMode="External"/><Relationship Id="rId3397" Type="http://schemas.openxmlformats.org/officeDocument/2006/relationships/hyperlink" Target="https://pbs.twimg.com/media/DtvCv7DXQAAhRZf.jpg" TargetMode="External"/><Relationship Id="rId178" Type="http://schemas.openxmlformats.org/officeDocument/2006/relationships/hyperlink" Target="https://www.facebook.com/pages/Espa%C3%B1oles-y-Venezolanos-Anti-Podemos/885396501484393?sk=timeline" TargetMode="External"/><Relationship Id="rId3257" Type="http://schemas.openxmlformats.org/officeDocument/2006/relationships/hyperlink" Target="http://menorca.info/" TargetMode="External"/><Relationship Id="rId385" Type="http://schemas.openxmlformats.org/officeDocument/2006/relationships/hyperlink" Target="https://www.riazor.org/deportivo-vs-numancia-minuto-a-minuto-en-directo/" TargetMode="External"/><Relationship Id="rId592" Type="http://schemas.openxmlformats.org/officeDocument/2006/relationships/hyperlink" Target="https://okdiario.com/economia/2018/12/08/italia-credibilidad-presupuestos-pedro-sanchez-denunciar-ue-trato-discriminatorio-3437675?utm_term=Autofeed&amp;utm_medium=Social&amp;utm_source=Twitter" TargetMode="External"/><Relationship Id="rId2066" Type="http://schemas.openxmlformats.org/officeDocument/2006/relationships/hyperlink" Target="https://www.libremercado.com/2018-12-07/el-populismo-de-pedro-sanchez-se-extiende-al-sector-energetico-1276629287/" TargetMode="External"/><Relationship Id="rId2273" Type="http://schemas.openxmlformats.org/officeDocument/2006/relationships/hyperlink" Target="https://pbs.twimg.com/media/DtvJGiLW0AAhUcI.jpg" TargetMode="External"/><Relationship Id="rId2480" Type="http://schemas.openxmlformats.org/officeDocument/2006/relationships/hyperlink" Target="https://www.libertaddigital.com/espana/2018-12-06/pedro-sanchez-desconoce-la-constitucion-pide-reformarla-para-incluir-la-igualdad-entre-hombres-y-mujeres-1276629507/" TargetMode="External"/><Relationship Id="rId3117" Type="http://schemas.openxmlformats.org/officeDocument/2006/relationships/hyperlink" Target="http://www.multiforo.eu/Noticias/2018/Diciembre/Diciembre_06.htm" TargetMode="External"/><Relationship Id="rId3324" Type="http://schemas.openxmlformats.org/officeDocument/2006/relationships/hyperlink" Target="http://www.citizengo.org/hazteoir/pc/166961-pedro-sanchez-vende-guardia-civil?tc=fb&amp;tcid=52558575" TargetMode="External"/><Relationship Id="rId245" Type="http://schemas.openxmlformats.org/officeDocument/2006/relationships/hyperlink" Target="http://dlvr.it/Qt7qXl" TargetMode="External"/><Relationship Id="rId452" Type="http://schemas.openxmlformats.org/officeDocument/2006/relationships/hyperlink" Target="https://pbs.twimg.com/media/Dt4rPFUXQAAbMgk.jpg" TargetMode="External"/><Relationship Id="rId1082" Type="http://schemas.openxmlformats.org/officeDocument/2006/relationships/hyperlink" Target="http://bit.ly/2B1TzVT" TargetMode="External"/><Relationship Id="rId2133" Type="http://schemas.openxmlformats.org/officeDocument/2006/relationships/hyperlink" Target="http://futbolred.com/" TargetMode="External"/><Relationship Id="rId2340" Type="http://schemas.openxmlformats.org/officeDocument/2006/relationships/hyperlink" Target="https://twitter.com/Gata1_C/status/1070791263534878727" TargetMode="External"/><Relationship Id="rId105" Type="http://schemas.openxmlformats.org/officeDocument/2006/relationships/hyperlink" Target="http://www.eldigitalcastillalamancha.es/" TargetMode="External"/><Relationship Id="rId312" Type="http://schemas.openxmlformats.org/officeDocument/2006/relationships/hyperlink" Target="https://www.youtube.com/attribution_link?a=ZD3kFu9uGLU&amp;u=%2Fwatch%3Fv%3DO5jm3v4p0p0%26feature%3Dshare" TargetMode="External"/><Relationship Id="rId2200" Type="http://schemas.openxmlformats.org/officeDocument/2006/relationships/hyperlink" Target="http://www.unwatch.org/es/" TargetMode="External"/><Relationship Id="rId1899" Type="http://schemas.openxmlformats.org/officeDocument/2006/relationships/hyperlink" Target="http://world2digits.blogspot.com/" TargetMode="External"/><Relationship Id="rId1759" Type="http://schemas.openxmlformats.org/officeDocument/2006/relationships/hyperlink" Target="http://copiajuridica.es/" TargetMode="External"/><Relationship Id="rId1966" Type="http://schemas.openxmlformats.org/officeDocument/2006/relationships/hyperlink" Target="https://www.libremercado.com/2018-12-07/el-populismo-de-pedro-sanchez-se-extiende-al-sector-energetico-1276629287/" TargetMode="External"/><Relationship Id="rId3181" Type="http://schemas.openxmlformats.org/officeDocument/2006/relationships/hyperlink" Target="http://www.libertaddigital.com/" TargetMode="External"/><Relationship Id="rId1619" Type="http://schemas.openxmlformats.org/officeDocument/2006/relationships/hyperlink" Target="http://www.sajimes.blogspot.com/" TargetMode="External"/><Relationship Id="rId1826" Type="http://schemas.openxmlformats.org/officeDocument/2006/relationships/hyperlink" Target="https://www.larazon.es/opinion/columnistas/la-ley-del-embudo-AM20865072" TargetMode="External"/><Relationship Id="rId3041" Type="http://schemas.openxmlformats.org/officeDocument/2006/relationships/hyperlink" Target="https://pbs.twimg.com/media/DtvphXPW0AYbDkP.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2501"/>
  <sheetViews>
    <sheetView tabSelected="1" workbookViewId="0">
      <pane ySplit="2" topLeftCell="A3" activePane="bottomLeft" state="frozen"/>
      <selection pane="bottomLeft" activeCell="B4" sqref="B4"/>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31" t="s">
        <v>1</v>
      </c>
      <c r="B1" s="32"/>
      <c r="C1" s="32"/>
      <c r="D1" s="32"/>
      <c r="E1" s="32"/>
      <c r="F1" s="32"/>
      <c r="G1" s="32"/>
      <c r="H1" s="32"/>
      <c r="I1" s="32"/>
      <c r="J1" s="32"/>
      <c r="K1" s="32"/>
      <c r="L1" s="33" t="s">
        <v>2</v>
      </c>
      <c r="M1" s="32"/>
      <c r="N1" s="32"/>
      <c r="O1" s="32"/>
      <c r="P1" s="32"/>
      <c r="Q1" s="32"/>
      <c r="R1" s="32"/>
      <c r="S1" s="32"/>
      <c r="T1" s="32"/>
      <c r="U1" s="32"/>
    </row>
    <row r="2" spans="1:21" ht="29.25" customHeight="1">
      <c r="A2" s="1" t="s">
        <v>0</v>
      </c>
      <c r="B2" s="2" t="s">
        <v>3</v>
      </c>
      <c r="C2" s="2" t="s">
        <v>4</v>
      </c>
      <c r="D2" s="3" t="s">
        <v>5</v>
      </c>
      <c r="E2" s="4" t="s">
        <v>6</v>
      </c>
      <c r="F2" s="4" t="s">
        <v>7</v>
      </c>
      <c r="G2" s="4" t="s">
        <v>8</v>
      </c>
      <c r="H2" s="4" t="s">
        <v>9</v>
      </c>
      <c r="I2" s="2" t="s">
        <v>10</v>
      </c>
      <c r="J2" s="2" t="s">
        <v>11</v>
      </c>
      <c r="K2" s="4" t="s">
        <v>12</v>
      </c>
      <c r="L2" s="2" t="s">
        <v>13</v>
      </c>
      <c r="M2" s="2" t="s">
        <v>14</v>
      </c>
      <c r="N2" s="4" t="s">
        <v>15</v>
      </c>
      <c r="O2" s="4" t="s">
        <v>16</v>
      </c>
      <c r="P2" s="4" t="s">
        <v>17</v>
      </c>
      <c r="Q2" s="4" t="s">
        <v>9</v>
      </c>
      <c r="R2" s="5" t="s">
        <v>18</v>
      </c>
      <c r="S2" s="4" t="s">
        <v>19</v>
      </c>
      <c r="T2" s="4" t="s">
        <v>20</v>
      </c>
      <c r="U2" s="4" t="s">
        <v>21</v>
      </c>
    </row>
    <row r="3" spans="1:21" ht="20.399999999999999">
      <c r="A3" s="6">
        <v>43442.744988425926</v>
      </c>
      <c r="B3" s="7" t="str">
        <f>HYPERLINK("https://twitter.com/anferantonio","@anferantonio")</f>
        <v>@anferantonio</v>
      </c>
      <c r="C3" s="8" t="s">
        <v>22</v>
      </c>
      <c r="D3" s="9" t="s">
        <v>24</v>
      </c>
      <c r="E3" s="10" t="str">
        <f>HYPERLINK("https://twitter.com/anferantonio/status/1071447510613442560","1071447510613442560")</f>
        <v>1071447510613442560</v>
      </c>
      <c r="F3" s="11" t="s">
        <v>25</v>
      </c>
      <c r="G3" s="12"/>
      <c r="H3" s="12"/>
      <c r="I3" s="13">
        <v>0</v>
      </c>
      <c r="J3" s="13">
        <v>0</v>
      </c>
      <c r="K3" s="14" t="str">
        <f>HYPERLINK("http://twitter.com/download/android","Twitter for Android")</f>
        <v>Twitter for Android</v>
      </c>
      <c r="L3" s="13">
        <v>2123</v>
      </c>
      <c r="M3" s="13">
        <v>1953</v>
      </c>
      <c r="N3" s="13">
        <v>22</v>
      </c>
      <c r="O3" s="15"/>
      <c r="P3" s="6">
        <v>40684.621493055558</v>
      </c>
      <c r="Q3" s="12"/>
      <c r="R3" s="17" t="s">
        <v>27</v>
      </c>
      <c r="S3" s="12"/>
      <c r="T3" s="12"/>
      <c r="U3" s="10" t="str">
        <f>HYPERLINK("https://pbs.twimg.com/profile_images/1000438802882744321/2SjwQMgw.jpg","View")</f>
        <v>View</v>
      </c>
    </row>
    <row r="4" spans="1:21" ht="40.799999999999997">
      <c r="A4" s="6">
        <v>43442.744814814811</v>
      </c>
      <c r="B4" s="7" t="str">
        <f>HYPERLINK("https://twitter.com/daviddonji","@daviddonji")</f>
        <v>@daviddonji</v>
      </c>
      <c r="C4" s="8" t="s">
        <v>30</v>
      </c>
      <c r="D4" s="9" t="s">
        <v>31</v>
      </c>
      <c r="E4" s="10" t="str">
        <f>HYPERLINK("https://twitter.com/daviddonji/status/1071447448000888834","1071447448000888834")</f>
        <v>1071447448000888834</v>
      </c>
      <c r="F4" s="11" t="s">
        <v>32</v>
      </c>
      <c r="G4" s="12"/>
      <c r="H4" s="12"/>
      <c r="I4" s="13">
        <v>0</v>
      </c>
      <c r="J4" s="13">
        <v>0</v>
      </c>
      <c r="K4" s="14" t="str">
        <f>HYPERLINK("http://twitter.com","Twitter Web Client")</f>
        <v>Twitter Web Client</v>
      </c>
      <c r="L4" s="13">
        <v>1156</v>
      </c>
      <c r="M4" s="13">
        <v>2067</v>
      </c>
      <c r="N4" s="13">
        <v>19</v>
      </c>
      <c r="O4" s="15"/>
      <c r="P4" s="6">
        <v>40145.775243055556</v>
      </c>
      <c r="Q4" s="16" t="s">
        <v>33</v>
      </c>
      <c r="R4" s="17" t="s">
        <v>34</v>
      </c>
      <c r="S4" s="11" t="s">
        <v>35</v>
      </c>
      <c r="T4" s="12"/>
      <c r="U4" s="10" t="str">
        <f>HYPERLINK("https://pbs.twimg.com/profile_images/485727627416981504/8zK3ACuD.jpeg","View")</f>
        <v>View</v>
      </c>
    </row>
    <row r="5" spans="1:21" ht="30.6">
      <c r="A5" s="6">
        <v>43442.744212962964</v>
      </c>
      <c r="B5" s="7" t="str">
        <f>HYPERLINK("https://twitter.com/TomasFe14020511","@TomasFe14020511")</f>
        <v>@TomasFe14020511</v>
      </c>
      <c r="C5" s="8" t="s">
        <v>36</v>
      </c>
      <c r="D5" s="9" t="s">
        <v>37</v>
      </c>
      <c r="E5" s="10" t="str">
        <f>HYPERLINK("https://twitter.com/TomasFe14020511/status/1071447227120410624","1071447227120410624")</f>
        <v>1071447227120410624</v>
      </c>
      <c r="F5" s="11" t="s">
        <v>38</v>
      </c>
      <c r="G5" s="12"/>
      <c r="H5" s="12"/>
      <c r="I5" s="13">
        <v>0</v>
      </c>
      <c r="J5" s="13">
        <v>0</v>
      </c>
      <c r="K5" s="14" t="str">
        <f t="shared" ref="K5:K6" si="0">HYPERLINK("http://twitter.com/download/android","Twitter for Android")</f>
        <v>Twitter for Android</v>
      </c>
      <c r="L5" s="13">
        <v>1351</v>
      </c>
      <c r="M5" s="13">
        <v>1344</v>
      </c>
      <c r="N5" s="13">
        <v>5</v>
      </c>
      <c r="O5" s="15"/>
      <c r="P5" s="6">
        <v>43049.337407407409</v>
      </c>
      <c r="Q5" s="16" t="s">
        <v>39</v>
      </c>
      <c r="R5" s="17" t="s">
        <v>40</v>
      </c>
      <c r="S5" s="12"/>
      <c r="T5" s="12"/>
      <c r="U5" s="10" t="str">
        <f>HYPERLINK("https://pbs.twimg.com/profile_images/991457940627447813/C8Mm4Yiy.jpg","View")</f>
        <v>View</v>
      </c>
    </row>
    <row r="6" spans="1:21" ht="51">
      <c r="A6" s="6">
        <v>43442.743831018517</v>
      </c>
      <c r="B6" s="7" t="str">
        <f>HYPERLINK("https://twitter.com/almiguelion","@almiguelion")</f>
        <v>@almiguelion</v>
      </c>
      <c r="C6" s="8" t="s">
        <v>42</v>
      </c>
      <c r="D6" s="9" t="s">
        <v>43</v>
      </c>
      <c r="E6" s="10" t="str">
        <f>HYPERLINK("https://twitter.com/almiguelion/status/1071447088725143557","1071447088725143557")</f>
        <v>1071447088725143557</v>
      </c>
      <c r="F6" s="12"/>
      <c r="G6" s="12"/>
      <c r="H6" s="12"/>
      <c r="I6" s="13">
        <v>0</v>
      </c>
      <c r="J6" s="13">
        <v>0</v>
      </c>
      <c r="K6" s="14" t="str">
        <f t="shared" si="0"/>
        <v>Twitter for Android</v>
      </c>
      <c r="L6" s="13">
        <v>11</v>
      </c>
      <c r="M6" s="13">
        <v>67</v>
      </c>
      <c r="N6" s="13">
        <v>0</v>
      </c>
      <c r="O6" s="15"/>
      <c r="P6" s="6">
        <v>43436.876469907409</v>
      </c>
      <c r="Q6" s="12"/>
      <c r="R6" s="19"/>
      <c r="S6" s="12"/>
      <c r="T6" s="12"/>
      <c r="U6" s="10" t="str">
        <f>HYPERLINK("https://pbs.twimg.com/profile_images/1069321861270568966/YNLpEvu3.jpg","View")</f>
        <v>View</v>
      </c>
    </row>
    <row r="7" spans="1:21" ht="40.799999999999997">
      <c r="A7" s="6">
        <v>43442.743796296301</v>
      </c>
      <c r="B7" s="7" t="str">
        <f>HYPERLINK("https://twitter.com/CCivicaCatalana","@CCivicaCatalana")</f>
        <v>@CCivicaCatalana</v>
      </c>
      <c r="C7" s="8" t="s">
        <v>46</v>
      </c>
      <c r="D7" s="9" t="s">
        <v>47</v>
      </c>
      <c r="E7" s="10" t="str">
        <f>HYPERLINK("https://twitter.com/CCivicaCatalana/status/1071447078335864832","1071447078335864832")</f>
        <v>1071447078335864832</v>
      </c>
      <c r="F7" s="11" t="s">
        <v>48</v>
      </c>
      <c r="G7" s="11" t="s">
        <v>49</v>
      </c>
      <c r="H7" s="12"/>
      <c r="I7" s="13">
        <v>1</v>
      </c>
      <c r="J7" s="13">
        <v>1</v>
      </c>
      <c r="K7" s="14" t="str">
        <f>HYPERLINK("http://twitter.com","Twitter Web Client")</f>
        <v>Twitter Web Client</v>
      </c>
      <c r="L7" s="13">
        <v>45966</v>
      </c>
      <c r="M7" s="13">
        <v>24354</v>
      </c>
      <c r="N7" s="13">
        <v>328</v>
      </c>
      <c r="O7" s="15"/>
      <c r="P7" s="6">
        <v>40710.796666666669</v>
      </c>
      <c r="Q7" s="16" t="s">
        <v>51</v>
      </c>
      <c r="R7" s="17" t="s">
        <v>52</v>
      </c>
      <c r="S7" s="11" t="s">
        <v>53</v>
      </c>
      <c r="T7" s="12"/>
      <c r="U7" s="10" t="str">
        <f>HYPERLINK("https://pbs.twimg.com/profile_images/651528231603015680/pTKPP47V.png","View")</f>
        <v>View</v>
      </c>
    </row>
    <row r="8" spans="1:21" ht="40.799999999999997">
      <c r="A8" s="6">
        <v>43442.742604166662</v>
      </c>
      <c r="B8" s="7" t="str">
        <f>HYPERLINK("https://twitter.com/Hamijo5","@Hamijo5")</f>
        <v>@Hamijo5</v>
      </c>
      <c r="C8" s="8" t="s">
        <v>57</v>
      </c>
      <c r="D8" s="9" t="s">
        <v>58</v>
      </c>
      <c r="E8" s="10" t="str">
        <f>HYPERLINK("https://twitter.com/Hamijo5/status/1071446644749725696","1071446644749725696")</f>
        <v>1071446644749725696</v>
      </c>
      <c r="F8" s="16" t="s">
        <v>59</v>
      </c>
      <c r="G8" s="12"/>
      <c r="H8" s="12"/>
      <c r="I8" s="13">
        <v>0</v>
      </c>
      <c r="J8" s="13">
        <v>0</v>
      </c>
      <c r="K8" s="14" t="str">
        <f t="shared" ref="K8:K12" si="1">HYPERLINK("http://twitter.com/download/android","Twitter for Android")</f>
        <v>Twitter for Android</v>
      </c>
      <c r="L8" s="13">
        <v>212</v>
      </c>
      <c r="M8" s="13">
        <v>231</v>
      </c>
      <c r="N8" s="13">
        <v>8</v>
      </c>
      <c r="O8" s="15"/>
      <c r="P8" s="6">
        <v>43227.494363425925</v>
      </c>
      <c r="Q8" s="12"/>
      <c r="R8" s="19"/>
      <c r="S8" s="12"/>
      <c r="T8" s="12"/>
      <c r="U8" s="10" t="str">
        <f>HYPERLINK("https://pbs.twimg.com/profile_images/1031269144602263557/IqgiZRWY.jpg","View")</f>
        <v>View</v>
      </c>
    </row>
    <row r="9" spans="1:21" ht="81.599999999999994">
      <c r="A9" s="6">
        <v>43442.741805555561</v>
      </c>
      <c r="B9" s="7" t="str">
        <f>HYPERLINK("https://twitter.com/bepadgil","@bepadgil")</f>
        <v>@bepadgil</v>
      </c>
      <c r="C9" s="8" t="s">
        <v>63</v>
      </c>
      <c r="D9" s="9" t="s">
        <v>64</v>
      </c>
      <c r="E9" s="10" t="str">
        <f>HYPERLINK("https://twitter.com/bepadgil/status/1071446356567474176","1071446356567474176")</f>
        <v>1071446356567474176</v>
      </c>
      <c r="F9" s="11" t="s">
        <v>65</v>
      </c>
      <c r="G9" s="11" t="s">
        <v>66</v>
      </c>
      <c r="H9" s="12"/>
      <c r="I9" s="13">
        <v>3</v>
      </c>
      <c r="J9" s="13">
        <v>5</v>
      </c>
      <c r="K9" s="14" t="str">
        <f t="shared" si="1"/>
        <v>Twitter for Android</v>
      </c>
      <c r="L9" s="13">
        <v>22</v>
      </c>
      <c r="M9" s="13">
        <v>95</v>
      </c>
      <c r="N9" s="13">
        <v>1</v>
      </c>
      <c r="O9" s="15"/>
      <c r="P9" s="6">
        <v>42285.805462962962</v>
      </c>
      <c r="Q9" s="12"/>
      <c r="R9" s="19"/>
      <c r="S9" s="12"/>
      <c r="T9" s="12"/>
      <c r="U9" s="18" t="s">
        <v>67</v>
      </c>
    </row>
    <row r="10" spans="1:21" ht="30.6">
      <c r="A10" s="6">
        <v>43442.74118055556</v>
      </c>
      <c r="B10" s="7" t="str">
        <f>HYPERLINK("https://twitter.com/FJDura","@FJDura")</f>
        <v>@FJDura</v>
      </c>
      <c r="C10" s="8" t="s">
        <v>68</v>
      </c>
      <c r="D10" s="9" t="s">
        <v>69</v>
      </c>
      <c r="E10" s="10" t="str">
        <f>HYPERLINK("https://twitter.com/FJDura/status/1071446128690913280","1071446128690913280")</f>
        <v>1071446128690913280</v>
      </c>
      <c r="F10" s="11" t="s">
        <v>70</v>
      </c>
      <c r="G10" s="12"/>
      <c r="H10" s="12"/>
      <c r="I10" s="13">
        <v>0</v>
      </c>
      <c r="J10" s="13">
        <v>0</v>
      </c>
      <c r="K10" s="14" t="str">
        <f t="shared" si="1"/>
        <v>Twitter for Android</v>
      </c>
      <c r="L10" s="13">
        <v>15</v>
      </c>
      <c r="M10" s="13">
        <v>22</v>
      </c>
      <c r="N10" s="13">
        <v>1</v>
      </c>
      <c r="O10" s="15"/>
      <c r="P10" s="6">
        <v>41309.024861111109</v>
      </c>
      <c r="Q10" s="12"/>
      <c r="R10" s="17" t="s">
        <v>71</v>
      </c>
      <c r="S10" s="12"/>
      <c r="T10" s="12"/>
      <c r="U10" s="10" t="str">
        <f>HYPERLINK("https://pbs.twimg.com/profile_images/1067830090309017600/OifAdBC7.jpg","View")</f>
        <v>View</v>
      </c>
    </row>
    <row r="11" spans="1:21" ht="91.8">
      <c r="A11" s="6">
        <v>43442.740428240737</v>
      </c>
      <c r="B11" s="7" t="str">
        <f>HYPERLINK("https://twitter.com/HSataniko","@HSataniko")</f>
        <v>@HSataniko</v>
      </c>
      <c r="C11" s="8" t="s">
        <v>73</v>
      </c>
      <c r="D11" s="9" t="s">
        <v>74</v>
      </c>
      <c r="E11" s="10" t="str">
        <f>HYPERLINK("https://twitter.com/HSataniko/status/1071445857881481216","1071445857881481216")</f>
        <v>1071445857881481216</v>
      </c>
      <c r="F11" s="11" t="s">
        <v>77</v>
      </c>
      <c r="G11" s="12"/>
      <c r="H11" s="12"/>
      <c r="I11" s="13">
        <v>0</v>
      </c>
      <c r="J11" s="13">
        <v>0</v>
      </c>
      <c r="K11" s="14" t="str">
        <f t="shared" si="1"/>
        <v>Twitter for Android</v>
      </c>
      <c r="L11" s="13">
        <v>93</v>
      </c>
      <c r="M11" s="13">
        <v>239</v>
      </c>
      <c r="N11" s="13">
        <v>0</v>
      </c>
      <c r="O11" s="15"/>
      <c r="P11" s="6">
        <v>43278.858657407407</v>
      </c>
      <c r="Q11" s="12"/>
      <c r="R11" s="17" t="s">
        <v>81</v>
      </c>
      <c r="S11" s="12"/>
      <c r="T11" s="12"/>
      <c r="U11" s="10" t="str">
        <f>HYPERLINK("https://pbs.twimg.com/profile_images/1023574821932810241/rcdkfTTQ.jpg","View")</f>
        <v>View</v>
      </c>
    </row>
    <row r="12" spans="1:21" ht="40.799999999999997">
      <c r="A12" s="6">
        <v>43442.73909722222</v>
      </c>
      <c r="B12" s="7" t="str">
        <f>HYPERLINK("https://twitter.com/FELIXMA66782826","@FELIXMA66782826")</f>
        <v>@FELIXMA66782826</v>
      </c>
      <c r="C12" s="8" t="s">
        <v>83</v>
      </c>
      <c r="D12" s="9" t="s">
        <v>84</v>
      </c>
      <c r="E12" s="10" t="str">
        <f>HYPERLINK("https://twitter.com/FELIXMA66782826/status/1071445373972037632","1071445373972037632")</f>
        <v>1071445373972037632</v>
      </c>
      <c r="F12" s="16" t="s">
        <v>59</v>
      </c>
      <c r="G12" s="12"/>
      <c r="H12" s="12"/>
      <c r="I12" s="13">
        <v>0</v>
      </c>
      <c r="J12" s="13">
        <v>0</v>
      </c>
      <c r="K12" s="14" t="str">
        <f t="shared" si="1"/>
        <v>Twitter for Android</v>
      </c>
      <c r="L12" s="13">
        <v>130</v>
      </c>
      <c r="M12" s="13">
        <v>434</v>
      </c>
      <c r="N12" s="13">
        <v>0</v>
      </c>
      <c r="O12" s="15"/>
      <c r="P12" s="6">
        <v>43239.908032407402</v>
      </c>
      <c r="Q12" s="16" t="s">
        <v>87</v>
      </c>
      <c r="R12" s="17" t="s">
        <v>88</v>
      </c>
      <c r="S12" s="12"/>
      <c r="T12" s="12"/>
      <c r="U12" s="10" t="str">
        <f>HYPERLINK("https://pbs.twimg.com/profile_images/998112873586069505/YLtC4nWK.jpg","View")</f>
        <v>View</v>
      </c>
    </row>
    <row r="13" spans="1:21" ht="40.799999999999997">
      <c r="A13" s="6">
        <v>43442.738657407404</v>
      </c>
      <c r="B13" s="7" t="str">
        <f>HYPERLINK("https://twitter.com/ancabocristiano","@ancabocristiano")</f>
        <v>@ancabocristiano</v>
      </c>
      <c r="C13" s="8" t="s">
        <v>89</v>
      </c>
      <c r="D13" s="9" t="s">
        <v>90</v>
      </c>
      <c r="E13" s="10" t="str">
        <f>HYPERLINK("https://twitter.com/ancabocristiano/status/1071445214697529344","1071445214697529344")</f>
        <v>1071445214697529344</v>
      </c>
      <c r="F13" s="11" t="s">
        <v>92</v>
      </c>
      <c r="G13" s="12"/>
      <c r="H13" s="12"/>
      <c r="I13" s="13">
        <v>0</v>
      </c>
      <c r="J13" s="13">
        <v>0</v>
      </c>
      <c r="K13" s="14" t="str">
        <f>HYPERLINK("http://twitter.com","Twitter Web Client")</f>
        <v>Twitter Web Client</v>
      </c>
      <c r="L13" s="13">
        <v>723</v>
      </c>
      <c r="M13" s="13">
        <v>1175</v>
      </c>
      <c r="N13" s="13">
        <v>16</v>
      </c>
      <c r="O13" s="15"/>
      <c r="P13" s="6">
        <v>40589.012638888889</v>
      </c>
      <c r="Q13" s="16" t="s">
        <v>93</v>
      </c>
      <c r="R13" s="17" t="s">
        <v>94</v>
      </c>
      <c r="S13" s="12"/>
      <c r="T13" s="12"/>
      <c r="U13" s="10" t="str">
        <f>HYPERLINK("https://pbs.twimg.com/profile_images/1498277119/Antonio_Twiter.JPG","View")</f>
        <v>View</v>
      </c>
    </row>
    <row r="14" spans="1:21" ht="30.6">
      <c r="A14" s="6">
        <v>43442.73737268518</v>
      </c>
      <c r="B14" s="7" t="str">
        <f>HYPERLINK("https://twitter.com/lahogueravas","@lahogueravas")</f>
        <v>@lahogueravas</v>
      </c>
      <c r="C14" s="8" t="s">
        <v>96</v>
      </c>
      <c r="D14" s="9" t="s">
        <v>97</v>
      </c>
      <c r="E14" s="10" t="str">
        <f>HYPERLINK("https://twitter.com/lahogueravas/status/1071444750694277125","1071444750694277125")</f>
        <v>1071444750694277125</v>
      </c>
      <c r="F14" s="12"/>
      <c r="G14" s="12"/>
      <c r="H14" s="12"/>
      <c r="I14" s="13">
        <v>0</v>
      </c>
      <c r="J14" s="13">
        <v>1</v>
      </c>
      <c r="K14" s="14" t="str">
        <f>HYPERLINK("http://twitter.com/download/android","Twitter for Android")</f>
        <v>Twitter for Android</v>
      </c>
      <c r="L14" s="13">
        <v>521</v>
      </c>
      <c r="M14" s="13">
        <v>277</v>
      </c>
      <c r="N14" s="13">
        <v>11</v>
      </c>
      <c r="O14" s="15"/>
      <c r="P14" s="6">
        <v>41728.840671296297</v>
      </c>
      <c r="Q14" s="16" t="s">
        <v>99</v>
      </c>
      <c r="R14" s="17" t="s">
        <v>100</v>
      </c>
      <c r="S14" s="12"/>
      <c r="T14" s="12"/>
      <c r="U14" s="10" t="str">
        <f>HYPERLINK("https://pbs.twimg.com/profile_images/629043908299882496/KhQK8KR3.jpg","View")</f>
        <v>View</v>
      </c>
    </row>
    <row r="15" spans="1:21" ht="20.399999999999999">
      <c r="A15" s="6">
        <v>43442.736203703702</v>
      </c>
      <c r="B15" s="7" t="str">
        <f>HYPERLINK("https://twitter.com/IngeniaPro","@IngeniaPro")</f>
        <v>@IngeniaPro</v>
      </c>
      <c r="C15" s="8" t="s">
        <v>101</v>
      </c>
      <c r="D15" s="9" t="s">
        <v>102</v>
      </c>
      <c r="E15" s="10" t="str">
        <f>HYPERLINK("https://twitter.com/IngeniaPro/status/1071444324947087360","1071444324947087360")</f>
        <v>1071444324947087360</v>
      </c>
      <c r="F15" s="11" t="s">
        <v>103</v>
      </c>
      <c r="G15" s="12"/>
      <c r="H15" s="12"/>
      <c r="I15" s="13">
        <v>0</v>
      </c>
      <c r="J15" s="13">
        <v>0</v>
      </c>
      <c r="K15" s="14" t="str">
        <f>HYPERLINK("http://twitter.com","Twitter Web Client")</f>
        <v>Twitter Web Client</v>
      </c>
      <c r="L15" s="13">
        <v>748</v>
      </c>
      <c r="M15" s="13">
        <v>522</v>
      </c>
      <c r="N15" s="13">
        <v>9</v>
      </c>
      <c r="O15" s="15"/>
      <c r="P15" s="6">
        <v>40589.745844907404</v>
      </c>
      <c r="Q15" s="16" t="s">
        <v>98</v>
      </c>
      <c r="R15" s="17" t="s">
        <v>104</v>
      </c>
      <c r="S15" s="11" t="s">
        <v>105</v>
      </c>
      <c r="T15" s="12"/>
      <c r="U15" s="10" t="str">
        <f>HYPERLINK("https://pbs.twimg.com/profile_images/1009383088617676800/BmHqKRPL.jpg","View")</f>
        <v>View</v>
      </c>
    </row>
    <row r="16" spans="1:21" ht="20.399999999999999">
      <c r="A16" s="6">
        <v>43442.735543981486</v>
      </c>
      <c r="B16" s="7" t="str">
        <f>HYPERLINK("https://twitter.com/Chicopelusa","@Chicopelusa")</f>
        <v>@Chicopelusa</v>
      </c>
      <c r="C16" s="8" t="s">
        <v>106</v>
      </c>
      <c r="D16" s="9" t="s">
        <v>107</v>
      </c>
      <c r="E16" s="10" t="str">
        <f>HYPERLINK("https://twitter.com/Chicopelusa/status/1071444087906205696","1071444087906205696")</f>
        <v>1071444087906205696</v>
      </c>
      <c r="F16" s="12"/>
      <c r="G16" s="11" t="s">
        <v>109</v>
      </c>
      <c r="H16" s="12"/>
      <c r="I16" s="13">
        <v>0</v>
      </c>
      <c r="J16" s="13">
        <v>0</v>
      </c>
      <c r="K16" s="14" t="str">
        <f>HYPERLINK("http://twitter.com/download/android","Twitter for Android")</f>
        <v>Twitter for Android</v>
      </c>
      <c r="L16" s="13">
        <v>98</v>
      </c>
      <c r="M16" s="13">
        <v>509</v>
      </c>
      <c r="N16" s="13">
        <v>3</v>
      </c>
      <c r="O16" s="15"/>
      <c r="P16" s="6">
        <v>41038.907384259262</v>
      </c>
      <c r="Q16" s="12"/>
      <c r="R16" s="17" t="s">
        <v>110</v>
      </c>
      <c r="S16" s="12"/>
      <c r="T16" s="12"/>
      <c r="U16" s="10" t="str">
        <f>HYPERLINK("https://pbs.twimg.com/profile_images/2213165423/chicopelusa.jpg","View")</f>
        <v>View</v>
      </c>
    </row>
    <row r="17" spans="1:21" ht="30.6">
      <c r="A17" s="6">
        <v>43442.73537037037</v>
      </c>
      <c r="B17" s="7" t="str">
        <f>HYPERLINK("https://twitter.com/pms67","@pms67")</f>
        <v>@pms67</v>
      </c>
      <c r="C17" s="8" t="s">
        <v>112</v>
      </c>
      <c r="D17" s="9" t="s">
        <v>113</v>
      </c>
      <c r="E17" s="10" t="str">
        <f>HYPERLINK("https://twitter.com/pms67/status/1071444024697995265","1071444024697995265")</f>
        <v>1071444024697995265</v>
      </c>
      <c r="F17" s="11" t="s">
        <v>115</v>
      </c>
      <c r="G17" s="12"/>
      <c r="H17" s="12"/>
      <c r="I17" s="13">
        <v>0</v>
      </c>
      <c r="J17" s="13">
        <v>0</v>
      </c>
      <c r="K17" s="14" t="str">
        <f>HYPERLINK("http://twitter.com/download/iphone","Twitter for iPhone")</f>
        <v>Twitter for iPhone</v>
      </c>
      <c r="L17" s="13">
        <v>51</v>
      </c>
      <c r="M17" s="13">
        <v>112</v>
      </c>
      <c r="N17" s="13">
        <v>0</v>
      </c>
      <c r="O17" s="15"/>
      <c r="P17" s="6">
        <v>40046.367743055554</v>
      </c>
      <c r="Q17" s="16" t="s">
        <v>119</v>
      </c>
      <c r="R17" s="17" t="s">
        <v>120</v>
      </c>
      <c r="S17" s="11" t="s">
        <v>121</v>
      </c>
      <c r="T17" s="12"/>
      <c r="U17" s="10" t="str">
        <f>HYPERLINK("https://pbs.twimg.com/profile_images/680804999279017984/C5dfyF7b.jpg","View")</f>
        <v>View</v>
      </c>
    </row>
    <row r="18" spans="1:21" ht="30.6">
      <c r="A18" s="6">
        <v>43442.73505787037</v>
      </c>
      <c r="B18" s="7" t="str">
        <f>HYPERLINK("https://twitter.com/garrido_cas","@garrido_cas")</f>
        <v>@garrido_cas</v>
      </c>
      <c r="C18" s="8" t="s">
        <v>122</v>
      </c>
      <c r="D18" s="9" t="s">
        <v>123</v>
      </c>
      <c r="E18" s="10" t="str">
        <f>HYPERLINK("https://twitter.com/garrido_cas/status/1071443910038302720","1071443910038302720")</f>
        <v>1071443910038302720</v>
      </c>
      <c r="F18" s="12"/>
      <c r="G18" s="12"/>
      <c r="H18" s="12"/>
      <c r="I18" s="13">
        <v>0</v>
      </c>
      <c r="J18" s="13">
        <v>0</v>
      </c>
      <c r="K18" s="14" t="str">
        <f>HYPERLINK("http://twitter.com/download/android","Twitter for Android")</f>
        <v>Twitter for Android</v>
      </c>
      <c r="L18" s="13">
        <v>2</v>
      </c>
      <c r="M18" s="13">
        <v>41</v>
      </c>
      <c r="N18" s="13">
        <v>0</v>
      </c>
      <c r="O18" s="15"/>
      <c r="P18" s="6">
        <v>41868.392060185186</v>
      </c>
      <c r="Q18" s="16" t="s">
        <v>124</v>
      </c>
      <c r="R18" s="19"/>
      <c r="S18" s="12"/>
      <c r="T18" s="12"/>
      <c r="U18" s="18" t="s">
        <v>67</v>
      </c>
    </row>
    <row r="19" spans="1:21" ht="30.6">
      <c r="A19" s="6">
        <v>43442.734305555554</v>
      </c>
      <c r="B19" s="7" t="str">
        <f>HYPERLINK("https://twitter.com/Noticias24horas","@Noticias24horas")</f>
        <v>@Noticias24horas</v>
      </c>
      <c r="C19" s="8" t="s">
        <v>125</v>
      </c>
      <c r="D19" s="9" t="s">
        <v>126</v>
      </c>
      <c r="E19" s="10" t="str">
        <f>HYPERLINK("https://twitter.com/Noticias24horas/status/1071443639312769024","1071443639312769024")</f>
        <v>1071443639312769024</v>
      </c>
      <c r="F19" s="11" t="s">
        <v>127</v>
      </c>
      <c r="G19" s="11" t="s">
        <v>128</v>
      </c>
      <c r="H19" s="12"/>
      <c r="I19" s="13">
        <v>0</v>
      </c>
      <c r="J19" s="13">
        <v>1</v>
      </c>
      <c r="K19" s="14" t="str">
        <f>HYPERLINK("http://twitter.com","Twitter Web Client")</f>
        <v>Twitter Web Client</v>
      </c>
      <c r="L19" s="13">
        <v>48038</v>
      </c>
      <c r="M19" s="13">
        <v>14717</v>
      </c>
      <c r="N19" s="13">
        <v>624</v>
      </c>
      <c r="O19" s="15"/>
      <c r="P19" s="6">
        <v>39799.161666666667</v>
      </c>
      <c r="Q19" s="16" t="s">
        <v>129</v>
      </c>
      <c r="R19" s="17" t="s">
        <v>130</v>
      </c>
      <c r="S19" s="11" t="s">
        <v>131</v>
      </c>
      <c r="T19" s="12"/>
      <c r="U19" s="10" t="str">
        <f>HYPERLINK("https://pbs.twimg.com/profile_images/739091131011567616/GfKL7dJ1.jpg","View")</f>
        <v>View</v>
      </c>
    </row>
    <row r="20" spans="1:21" ht="20.399999999999999">
      <c r="A20" s="6">
        <v>43442.734097222223</v>
      </c>
      <c r="B20" s="7" t="str">
        <f>HYPERLINK("https://twitter.com/IngeniaPro","@IngeniaPro")</f>
        <v>@IngeniaPro</v>
      </c>
      <c r="C20" s="8" t="s">
        <v>101</v>
      </c>
      <c r="D20" s="9" t="s">
        <v>132</v>
      </c>
      <c r="E20" s="10" t="str">
        <f>HYPERLINK("https://twitter.com/IngeniaPro/status/1071443561948831744","1071443561948831744")</f>
        <v>1071443561948831744</v>
      </c>
      <c r="F20" s="11" t="s">
        <v>134</v>
      </c>
      <c r="G20" s="12"/>
      <c r="H20" s="12"/>
      <c r="I20" s="13">
        <v>0</v>
      </c>
      <c r="J20" s="13">
        <v>0</v>
      </c>
      <c r="K20" s="14" t="str">
        <f>HYPERLINK("https://www.google.com/","Google")</f>
        <v>Google</v>
      </c>
      <c r="L20" s="13">
        <v>748</v>
      </c>
      <c r="M20" s="13">
        <v>522</v>
      </c>
      <c r="N20" s="13">
        <v>9</v>
      </c>
      <c r="O20" s="15"/>
      <c r="P20" s="6">
        <v>40589.745844907404</v>
      </c>
      <c r="Q20" s="16" t="s">
        <v>98</v>
      </c>
      <c r="R20" s="17" t="s">
        <v>104</v>
      </c>
      <c r="S20" s="11" t="s">
        <v>105</v>
      </c>
      <c r="T20" s="12"/>
      <c r="U20" s="10" t="str">
        <f>HYPERLINK("https://pbs.twimg.com/profile_images/1009383088617676800/BmHqKRPL.jpg","View")</f>
        <v>View</v>
      </c>
    </row>
    <row r="21" spans="1:21" ht="71.400000000000006">
      <c r="A21" s="6">
        <v>43442.7340162037</v>
      </c>
      <c r="B21" s="7" t="str">
        <f>HYPERLINK("https://twitter.com/darthcerbero","@darthcerbero")</f>
        <v>@darthcerbero</v>
      </c>
      <c r="C21" s="8" t="s">
        <v>135</v>
      </c>
      <c r="D21" s="9" t="s">
        <v>136</v>
      </c>
      <c r="E21" s="10" t="str">
        <f>HYPERLINK("https://twitter.com/darthcerbero/status/1071443533620494336","1071443533620494336")</f>
        <v>1071443533620494336</v>
      </c>
      <c r="F21" s="16" t="s">
        <v>137</v>
      </c>
      <c r="G21" s="12"/>
      <c r="H21" s="12"/>
      <c r="I21" s="13">
        <v>1</v>
      </c>
      <c r="J21" s="13">
        <v>1</v>
      </c>
      <c r="K21" s="14" t="str">
        <f>HYPERLINK("http://twitter.com/download/android","Twitter for Android")</f>
        <v>Twitter for Android</v>
      </c>
      <c r="L21" s="13">
        <v>775</v>
      </c>
      <c r="M21" s="13">
        <v>534</v>
      </c>
      <c r="N21" s="13">
        <v>76</v>
      </c>
      <c r="O21" s="15"/>
      <c r="P21" s="6">
        <v>41693.817106481481</v>
      </c>
      <c r="Q21" s="16" t="s">
        <v>138</v>
      </c>
      <c r="R21" s="17" t="s">
        <v>139</v>
      </c>
      <c r="S21" s="12"/>
      <c r="T21" s="12"/>
      <c r="U21" s="10" t="str">
        <f>HYPERLINK("https://pbs.twimg.com/profile_images/455439280924409856/OiOWDSJy.jpeg","View")</f>
        <v>View</v>
      </c>
    </row>
    <row r="22" spans="1:21" ht="30.6">
      <c r="A22" s="6">
        <v>43442.733912037038</v>
      </c>
      <c r="B22" s="7" t="str">
        <f t="shared" ref="B22:B23" si="2">HYPERLINK("https://twitter.com/Pedro_Castro","@Pedro_Castro")</f>
        <v>@Pedro_Castro</v>
      </c>
      <c r="C22" s="8" t="s">
        <v>140</v>
      </c>
      <c r="D22" s="9" t="s">
        <v>141</v>
      </c>
      <c r="E22" s="10" t="str">
        <f>HYPERLINK("https://twitter.com/Pedro_Castro/status/1071443494433157120","1071443494433157120")</f>
        <v>1071443494433157120</v>
      </c>
      <c r="F22" s="11" t="s">
        <v>142</v>
      </c>
      <c r="G22" s="12"/>
      <c r="H22" s="12"/>
      <c r="I22" s="13">
        <v>0</v>
      </c>
      <c r="J22" s="13">
        <v>0</v>
      </c>
      <c r="K22" s="14" t="str">
        <f t="shared" ref="K22:K24" si="3">HYPERLINK("http://twitter.com","Twitter Web Client")</f>
        <v>Twitter Web Client</v>
      </c>
      <c r="L22" s="13">
        <v>12369</v>
      </c>
      <c r="M22" s="13">
        <v>5931</v>
      </c>
      <c r="N22" s="13">
        <v>412</v>
      </c>
      <c r="O22" s="15"/>
      <c r="P22" s="6">
        <v>39811.502395833333</v>
      </c>
      <c r="Q22" s="16" t="s">
        <v>144</v>
      </c>
      <c r="R22" s="17" t="s">
        <v>145</v>
      </c>
      <c r="S22" s="11" t="s">
        <v>146</v>
      </c>
      <c r="T22" s="12"/>
      <c r="U22" s="10" t="str">
        <f t="shared" ref="U22:U23" si="4">HYPERLINK("https://pbs.twimg.com/profile_images/1423190616/203177_1104736911_528524_n2.jpg","View")</f>
        <v>View</v>
      </c>
    </row>
    <row r="23" spans="1:21" ht="30.6">
      <c r="A23" s="6">
        <v>43442.733900462961</v>
      </c>
      <c r="B23" s="7" t="str">
        <f t="shared" si="2"/>
        <v>@Pedro_Castro</v>
      </c>
      <c r="C23" s="8" t="s">
        <v>140</v>
      </c>
      <c r="D23" s="9" t="s">
        <v>141</v>
      </c>
      <c r="E23" s="10" t="str">
        <f>HYPERLINK("https://twitter.com/Pedro_Castro/status/1071443492881129472","1071443492881129472")</f>
        <v>1071443492881129472</v>
      </c>
      <c r="F23" s="11" t="s">
        <v>142</v>
      </c>
      <c r="G23" s="12"/>
      <c r="H23" s="12"/>
      <c r="I23" s="13">
        <v>0</v>
      </c>
      <c r="J23" s="13">
        <v>0</v>
      </c>
      <c r="K23" s="14" t="str">
        <f t="shared" si="3"/>
        <v>Twitter Web Client</v>
      </c>
      <c r="L23" s="13">
        <v>12369</v>
      </c>
      <c r="M23" s="13">
        <v>5931</v>
      </c>
      <c r="N23" s="13">
        <v>412</v>
      </c>
      <c r="O23" s="15"/>
      <c r="P23" s="6">
        <v>39811.502395833333</v>
      </c>
      <c r="Q23" s="16" t="s">
        <v>144</v>
      </c>
      <c r="R23" s="17" t="s">
        <v>145</v>
      </c>
      <c r="S23" s="11" t="s">
        <v>146</v>
      </c>
      <c r="T23" s="12"/>
      <c r="U23" s="10" t="str">
        <f t="shared" si="4"/>
        <v>View</v>
      </c>
    </row>
    <row r="24" spans="1:21" ht="61.2">
      <c r="A24" s="6">
        <v>43442.733819444446</v>
      </c>
      <c r="B24" s="7" t="str">
        <f>HYPERLINK("https://twitter.com/Quicklime_83","@Quicklime_83")</f>
        <v>@Quicklime_83</v>
      </c>
      <c r="C24" s="8" t="s">
        <v>148</v>
      </c>
      <c r="D24" s="9" t="s">
        <v>149</v>
      </c>
      <c r="E24" s="10" t="str">
        <f>HYPERLINK("https://twitter.com/Quicklime_83/status/1071443463051329536","1071443463051329536")</f>
        <v>1071443463051329536</v>
      </c>
      <c r="F24" s="16" t="s">
        <v>150</v>
      </c>
      <c r="G24" s="11" t="s">
        <v>151</v>
      </c>
      <c r="H24" s="12"/>
      <c r="I24" s="13">
        <v>1</v>
      </c>
      <c r="J24" s="13">
        <v>1</v>
      </c>
      <c r="K24" s="14" t="str">
        <f t="shared" si="3"/>
        <v>Twitter Web Client</v>
      </c>
      <c r="L24" s="13">
        <v>853</v>
      </c>
      <c r="M24" s="13">
        <v>979</v>
      </c>
      <c r="N24" s="13">
        <v>17</v>
      </c>
      <c r="O24" s="15"/>
      <c r="P24" s="6">
        <v>40014.671909722223</v>
      </c>
      <c r="Q24" s="16" t="s">
        <v>152</v>
      </c>
      <c r="R24" s="19"/>
      <c r="S24" s="12"/>
      <c r="T24" s="12"/>
      <c r="U24" s="10" t="str">
        <f>HYPERLINK("https://pbs.twimg.com/profile_images/858413618366365696/SIdbC538.jpg","View")</f>
        <v>View</v>
      </c>
    </row>
    <row r="25" spans="1:21" ht="30.6">
      <c r="A25" s="6">
        <v>43442.732754629629</v>
      </c>
      <c r="B25" s="7" t="str">
        <f t="shared" ref="B25:B26" si="5">HYPERLINK("https://twitter.com/IngeniaPro","@IngeniaPro")</f>
        <v>@IngeniaPro</v>
      </c>
      <c r="C25" s="8" t="s">
        <v>101</v>
      </c>
      <c r="D25" s="9" t="s">
        <v>154</v>
      </c>
      <c r="E25" s="10" t="str">
        <f>HYPERLINK("https://twitter.com/IngeniaPro/status/1071443077280268288","1071443077280268288")</f>
        <v>1071443077280268288</v>
      </c>
      <c r="F25" s="11" t="s">
        <v>134</v>
      </c>
      <c r="G25" s="12"/>
      <c r="H25" s="12"/>
      <c r="I25" s="13">
        <v>0</v>
      </c>
      <c r="J25" s="13">
        <v>0</v>
      </c>
      <c r="K25" s="14" t="str">
        <f t="shared" ref="K25:K26" si="6">HYPERLINK("https://www.google.com/","Google")</f>
        <v>Google</v>
      </c>
      <c r="L25" s="13">
        <v>748</v>
      </c>
      <c r="M25" s="13">
        <v>522</v>
      </c>
      <c r="N25" s="13">
        <v>9</v>
      </c>
      <c r="O25" s="15"/>
      <c r="P25" s="6">
        <v>40589.745844907404</v>
      </c>
      <c r="Q25" s="16" t="s">
        <v>98</v>
      </c>
      <c r="R25" s="17" t="s">
        <v>104</v>
      </c>
      <c r="S25" s="11" t="s">
        <v>105</v>
      </c>
      <c r="T25" s="12"/>
      <c r="U25" s="10" t="str">
        <f t="shared" ref="U25:U26" si="7">HYPERLINK("https://pbs.twimg.com/profile_images/1009383088617676800/BmHqKRPL.jpg","View")</f>
        <v>View</v>
      </c>
    </row>
    <row r="26" spans="1:21" ht="30.6">
      <c r="A26" s="6">
        <v>43442.732754629629</v>
      </c>
      <c r="B26" s="7" t="str">
        <f t="shared" si="5"/>
        <v>@IngeniaPro</v>
      </c>
      <c r="C26" s="8" t="s">
        <v>101</v>
      </c>
      <c r="D26" s="9" t="s">
        <v>154</v>
      </c>
      <c r="E26" s="10" t="str">
        <f>HYPERLINK("https://twitter.com/IngeniaPro/status/1071443074373496832","1071443074373496832")</f>
        <v>1071443074373496832</v>
      </c>
      <c r="F26" s="11" t="s">
        <v>134</v>
      </c>
      <c r="G26" s="12"/>
      <c r="H26" s="12"/>
      <c r="I26" s="13">
        <v>0</v>
      </c>
      <c r="J26" s="13">
        <v>0</v>
      </c>
      <c r="K26" s="14" t="str">
        <f t="shared" si="6"/>
        <v>Google</v>
      </c>
      <c r="L26" s="13">
        <v>748</v>
      </c>
      <c r="M26" s="13">
        <v>522</v>
      </c>
      <c r="N26" s="13">
        <v>9</v>
      </c>
      <c r="O26" s="15"/>
      <c r="P26" s="6">
        <v>40589.745844907404</v>
      </c>
      <c r="Q26" s="16" t="s">
        <v>98</v>
      </c>
      <c r="R26" s="17" t="s">
        <v>104</v>
      </c>
      <c r="S26" s="11" t="s">
        <v>105</v>
      </c>
      <c r="T26" s="12"/>
      <c r="U26" s="10" t="str">
        <f t="shared" si="7"/>
        <v>View</v>
      </c>
    </row>
    <row r="27" spans="1:21" ht="20.399999999999999">
      <c r="A27" s="6">
        <v>43442.731990740736</v>
      </c>
      <c r="B27" s="7" t="str">
        <f>HYPERLINK("https://twitter.com/PIBpotencialweb","@PIBpotencialweb")</f>
        <v>@PIBpotencialweb</v>
      </c>
      <c r="C27" s="8" t="s">
        <v>157</v>
      </c>
      <c r="D27" s="9" t="s">
        <v>158</v>
      </c>
      <c r="E27" s="10" t="str">
        <f>HYPERLINK("https://twitter.com/PIBpotencialweb/status/1071442798430248960","1071442798430248960")</f>
        <v>1071442798430248960</v>
      </c>
      <c r="F27" s="11" t="s">
        <v>159</v>
      </c>
      <c r="G27" s="12"/>
      <c r="H27" s="12"/>
      <c r="I27" s="13">
        <v>0</v>
      </c>
      <c r="J27" s="13">
        <v>0</v>
      </c>
      <c r="K27" s="14" t="str">
        <f>HYPERLINK("https://dlvrit.com/","dlvr.it")</f>
        <v>dlvr.it</v>
      </c>
      <c r="L27" s="13">
        <v>58</v>
      </c>
      <c r="M27" s="13">
        <v>43</v>
      </c>
      <c r="N27" s="13">
        <v>4</v>
      </c>
      <c r="O27" s="15"/>
      <c r="P27" s="6">
        <v>42406.682743055557</v>
      </c>
      <c r="Q27" s="12"/>
      <c r="R27" s="17" t="s">
        <v>160</v>
      </c>
      <c r="S27" s="11" t="s">
        <v>161</v>
      </c>
      <c r="T27" s="12"/>
      <c r="U27" s="10" t="str">
        <f>HYPERLINK("https://pbs.twimg.com/profile_images/696319003095080960/tt1o-A6E.jpg","View")</f>
        <v>View</v>
      </c>
    </row>
    <row r="28" spans="1:21" ht="20.399999999999999">
      <c r="A28" s="6">
        <v>43442.730266203704</v>
      </c>
      <c r="B28" s="7" t="str">
        <f>HYPERLINK("https://twitter.com/Joseant97477008","@Joseant97477008")</f>
        <v>@Joseant97477008</v>
      </c>
      <c r="C28" s="8" t="s">
        <v>165</v>
      </c>
      <c r="D28" s="9" t="s">
        <v>166</v>
      </c>
      <c r="E28" s="10" t="str">
        <f>HYPERLINK("https://twitter.com/Joseant97477008/status/1071442175546798083","1071442175546798083")</f>
        <v>1071442175546798083</v>
      </c>
      <c r="F28" s="12"/>
      <c r="G28" s="12"/>
      <c r="H28" s="12"/>
      <c r="I28" s="13">
        <v>0</v>
      </c>
      <c r="J28" s="13">
        <v>0</v>
      </c>
      <c r="K28" s="14" t="str">
        <f>HYPERLINK("https://mobile.twitter.com","Twitter Lite")</f>
        <v>Twitter Lite</v>
      </c>
      <c r="L28" s="13">
        <v>8</v>
      </c>
      <c r="M28" s="13">
        <v>10</v>
      </c>
      <c r="N28" s="13">
        <v>1</v>
      </c>
      <c r="O28" s="15"/>
      <c r="P28" s="6">
        <v>42553.731770833328</v>
      </c>
      <c r="Q28" s="16" t="s">
        <v>167</v>
      </c>
      <c r="R28" s="17" t="s">
        <v>168</v>
      </c>
      <c r="S28" s="12"/>
      <c r="T28" s="12"/>
      <c r="U28" s="10" t="str">
        <f>HYPERLINK("https://pbs.twimg.com/profile_images/1006078087413497856/qBaK0CUJ.jpg","View")</f>
        <v>View</v>
      </c>
    </row>
    <row r="29" spans="1:21" ht="30.6">
      <c r="A29" s="6">
        <v>43442.72923611111</v>
      </c>
      <c r="B29" s="7" t="str">
        <f>HYPERLINK("https://twitter.com/DiarioJAENes","@DiarioJAENes")</f>
        <v>@DiarioJAENes</v>
      </c>
      <c r="C29" s="8" t="s">
        <v>172</v>
      </c>
      <c r="D29" s="9" t="s">
        <v>173</v>
      </c>
      <c r="E29" s="10" t="str">
        <f>HYPERLINK("https://twitter.com/DiarioJAENes/status/1071441803256258562","1071441803256258562")</f>
        <v>1071441803256258562</v>
      </c>
      <c r="F29" s="11" t="s">
        <v>176</v>
      </c>
      <c r="G29" s="12"/>
      <c r="H29" s="12"/>
      <c r="I29" s="13">
        <v>0</v>
      </c>
      <c r="J29" s="13">
        <v>0</v>
      </c>
      <c r="K29" s="14" t="str">
        <f>HYPERLINK("https://www.hootsuite.com","Hootsuite Inc.")</f>
        <v>Hootsuite Inc.</v>
      </c>
      <c r="L29" s="13">
        <v>32882</v>
      </c>
      <c r="M29" s="13">
        <v>3287</v>
      </c>
      <c r="N29" s="13">
        <v>418</v>
      </c>
      <c r="O29" s="15"/>
      <c r="P29" s="6">
        <v>40059.475706018522</v>
      </c>
      <c r="Q29" s="16" t="s">
        <v>177</v>
      </c>
      <c r="R29" s="17" t="s">
        <v>178</v>
      </c>
      <c r="S29" s="11" t="s">
        <v>179</v>
      </c>
      <c r="T29" s="12"/>
      <c r="U29" s="10" t="str">
        <f>HYPERLINK("https://pbs.twimg.com/profile_images/933720250780090368/t-g8cX43.jpg","View")</f>
        <v>View</v>
      </c>
    </row>
    <row r="30" spans="1:21" ht="30.6">
      <c r="A30" s="6">
        <v>43442.728969907403</v>
      </c>
      <c r="B30" s="7" t="str">
        <f>HYPERLINK("https://twitter.com/Luisjoargue","@Luisjoargue")</f>
        <v>@Luisjoargue</v>
      </c>
      <c r="C30" s="8" t="s">
        <v>180</v>
      </c>
      <c r="D30" s="9" t="s">
        <v>181</v>
      </c>
      <c r="E30" s="10" t="str">
        <f>HYPERLINK("https://twitter.com/Luisjoargue/status/1071441704497094657","1071441704497094657")</f>
        <v>1071441704497094657</v>
      </c>
      <c r="F30" s="11" t="s">
        <v>182</v>
      </c>
      <c r="G30" s="12"/>
      <c r="H30" s="12"/>
      <c r="I30" s="13">
        <v>0</v>
      </c>
      <c r="J30" s="13">
        <v>0</v>
      </c>
      <c r="K30" s="14" t="str">
        <f>HYPERLINK("http://twitter.com/download/iphone","Twitter for iPhone")</f>
        <v>Twitter for iPhone</v>
      </c>
      <c r="L30" s="13">
        <v>1418</v>
      </c>
      <c r="M30" s="13">
        <v>2022</v>
      </c>
      <c r="N30" s="13">
        <v>40</v>
      </c>
      <c r="O30" s="15"/>
      <c r="P30" s="6">
        <v>40356.635312500002</v>
      </c>
      <c r="Q30" s="12"/>
      <c r="R30" s="17" t="s">
        <v>183</v>
      </c>
      <c r="S30" s="12"/>
      <c r="T30" s="12"/>
      <c r="U30" s="10" t="str">
        <f>HYPERLINK("https://pbs.twimg.com/profile_images/765304202272903169/-K7o-_9m.jpg","View")</f>
        <v>View</v>
      </c>
    </row>
    <row r="31" spans="1:21" ht="61.2">
      <c r="A31" s="6">
        <v>43442.728865740741</v>
      </c>
      <c r="B31" s="7" t="str">
        <f>HYPERLINK("https://twitter.com/ferrerodu","@ferrerodu")</f>
        <v>@ferrerodu</v>
      </c>
      <c r="C31" s="8" t="s">
        <v>169</v>
      </c>
      <c r="D31" s="9" t="s">
        <v>170</v>
      </c>
      <c r="E31" s="10" t="str">
        <f>HYPERLINK("https://twitter.com/ferrerodu/status/1071441668937789440","1071441668937789440")</f>
        <v>1071441668937789440</v>
      </c>
      <c r="F31" s="11" t="s">
        <v>171</v>
      </c>
      <c r="G31" s="12"/>
      <c r="H31" s="12"/>
      <c r="I31" s="13">
        <v>1</v>
      </c>
      <c r="J31" s="13">
        <v>1</v>
      </c>
      <c r="K31" s="14" t="str">
        <f>HYPERLINK("http://twitter.com/download/android","Twitter for Android")</f>
        <v>Twitter for Android</v>
      </c>
      <c r="L31" s="13">
        <v>3251</v>
      </c>
      <c r="M31" s="13">
        <v>4994</v>
      </c>
      <c r="N31" s="13">
        <v>48</v>
      </c>
      <c r="O31" s="15"/>
      <c r="P31" s="6">
        <v>42514.8434375</v>
      </c>
      <c r="Q31" s="12"/>
      <c r="R31" s="17" t="s">
        <v>174</v>
      </c>
      <c r="S31" s="12"/>
      <c r="T31" s="12"/>
      <c r="U31" s="10" t="str">
        <f>HYPERLINK("https://pbs.twimg.com/profile_images/937373246110031872/Ag-PfK82.jpg","View")</f>
        <v>View</v>
      </c>
    </row>
    <row r="32" spans="1:21" ht="30.6">
      <c r="A32" s="6">
        <v>43442.72791666667</v>
      </c>
      <c r="B32" s="7" t="str">
        <f>HYPERLINK("https://twitter.com/rub3nc0us0","@rub3nc0us0")</f>
        <v>@rub3nc0us0</v>
      </c>
      <c r="C32" s="8" t="s">
        <v>191</v>
      </c>
      <c r="D32" s="9" t="s">
        <v>192</v>
      </c>
      <c r="E32" s="10" t="str">
        <f>HYPERLINK("https://twitter.com/rub3nc0us0/status/1071441323989876737","1071441323989876737")</f>
        <v>1071441323989876737</v>
      </c>
      <c r="F32" s="16" t="s">
        <v>193</v>
      </c>
      <c r="G32" s="12"/>
      <c r="H32" s="12"/>
      <c r="I32" s="13">
        <v>0</v>
      </c>
      <c r="J32" s="13">
        <v>0</v>
      </c>
      <c r="K32" s="14" t="str">
        <f>HYPERLINK("https://mobile.twitter.com","Twitter Lite")</f>
        <v>Twitter Lite</v>
      </c>
      <c r="L32" s="13">
        <v>690</v>
      </c>
      <c r="M32" s="13">
        <v>2467</v>
      </c>
      <c r="N32" s="13">
        <v>2</v>
      </c>
      <c r="O32" s="15"/>
      <c r="P32" s="6">
        <v>43139.206875000003</v>
      </c>
      <c r="Q32" s="16" t="s">
        <v>194</v>
      </c>
      <c r="R32" s="17" t="s">
        <v>195</v>
      </c>
      <c r="S32" s="12"/>
      <c r="T32" s="12"/>
      <c r="U32" s="10" t="str">
        <f>HYPERLINK("https://pbs.twimg.com/profile_images/1045733798007250944/rYWAR-DR.jpg","View")</f>
        <v>View</v>
      </c>
    </row>
    <row r="33" spans="1:21" ht="40.799999999999997">
      <c r="A33" s="6">
        <v>43442.727835648147</v>
      </c>
      <c r="B33" s="7" t="str">
        <f>HYPERLINK("https://twitter.com/jatirado","@jatirado")</f>
        <v>@jatirado</v>
      </c>
      <c r="C33" s="8" t="s">
        <v>196</v>
      </c>
      <c r="D33" s="9" t="s">
        <v>197</v>
      </c>
      <c r="E33" s="10" t="str">
        <f>HYPERLINK("https://twitter.com/jatirado/status/1071441295304929280","1071441295304929280")</f>
        <v>1071441295304929280</v>
      </c>
      <c r="F33" s="11" t="s">
        <v>198</v>
      </c>
      <c r="G33" s="11" t="s">
        <v>199</v>
      </c>
      <c r="H33" s="12"/>
      <c r="I33" s="13">
        <v>5</v>
      </c>
      <c r="J33" s="13">
        <v>1</v>
      </c>
      <c r="K33" s="14" t="str">
        <f>HYPERLINK("https://dlvrit.com/","dlvr.it")</f>
        <v>dlvr.it</v>
      </c>
      <c r="L33" s="13">
        <v>81545</v>
      </c>
      <c r="M33" s="13">
        <v>49760</v>
      </c>
      <c r="N33" s="13">
        <v>1030</v>
      </c>
      <c r="O33" s="15"/>
      <c r="P33" s="6">
        <v>40353.552581018521</v>
      </c>
      <c r="Q33" s="16" t="s">
        <v>200</v>
      </c>
      <c r="R33" s="17" t="s">
        <v>201</v>
      </c>
      <c r="S33" s="11" t="s">
        <v>202</v>
      </c>
      <c r="T33" s="12"/>
      <c r="U33" s="10" t="str">
        <f>HYPERLINK("https://pbs.twimg.com/profile_images/485680559742791680/dg68o8vH.jpeg","View")</f>
        <v>View</v>
      </c>
    </row>
    <row r="34" spans="1:21" ht="51">
      <c r="A34" s="6">
        <v>43442.725740740745</v>
      </c>
      <c r="B34" s="7" t="str">
        <f>HYPERLINK("https://twitter.com/herreraleonber","@herreraleonber")</f>
        <v>@herreraleonber</v>
      </c>
      <c r="C34" s="8" t="s">
        <v>204</v>
      </c>
      <c r="D34" s="9" t="s">
        <v>205</v>
      </c>
      <c r="E34" s="10" t="str">
        <f>HYPERLINK("https://twitter.com/herreraleonber/status/1071440532944105476","1071440532944105476")</f>
        <v>1071440532944105476</v>
      </c>
      <c r="F34" s="12"/>
      <c r="G34" s="12"/>
      <c r="H34" s="12"/>
      <c r="I34" s="13">
        <v>1</v>
      </c>
      <c r="J34" s="13">
        <v>1</v>
      </c>
      <c r="K34" s="14" t="str">
        <f t="shared" ref="K34:K35" si="8">HYPERLINK("http://twitter.com","Twitter Web Client")</f>
        <v>Twitter Web Client</v>
      </c>
      <c r="L34" s="13">
        <v>2530</v>
      </c>
      <c r="M34" s="13">
        <v>4137</v>
      </c>
      <c r="N34" s="13">
        <v>12</v>
      </c>
      <c r="O34" s="15"/>
      <c r="P34" s="6">
        <v>40856.874351851853</v>
      </c>
      <c r="Q34" s="16" t="s">
        <v>207</v>
      </c>
      <c r="R34" s="17" t="s">
        <v>208</v>
      </c>
      <c r="S34" s="11" t="s">
        <v>209</v>
      </c>
      <c r="T34" s="12"/>
      <c r="U34" s="10" t="str">
        <f>HYPERLINK("https://pbs.twimg.com/profile_images/1033005069275422720/VrKU80zM.jpg","View")</f>
        <v>View</v>
      </c>
    </row>
    <row r="35" spans="1:21" ht="30.6">
      <c r="A35" s="6">
        <v>43442.724386574075</v>
      </c>
      <c r="B35" s="7" t="str">
        <f>HYPERLINK("https://twitter.com/Pedro_Castro","@Pedro_Castro")</f>
        <v>@Pedro_Castro</v>
      </c>
      <c r="C35" s="8" t="s">
        <v>140</v>
      </c>
      <c r="D35" s="9" t="s">
        <v>210</v>
      </c>
      <c r="E35" s="10" t="str">
        <f>HYPERLINK("https://twitter.com/Pedro_Castro/status/1071440044051828738","1071440044051828738")</f>
        <v>1071440044051828738</v>
      </c>
      <c r="F35" s="11" t="s">
        <v>211</v>
      </c>
      <c r="G35" s="12"/>
      <c r="H35" s="12"/>
      <c r="I35" s="13">
        <v>0</v>
      </c>
      <c r="J35" s="13">
        <v>0</v>
      </c>
      <c r="K35" s="14" t="str">
        <f t="shared" si="8"/>
        <v>Twitter Web Client</v>
      </c>
      <c r="L35" s="13">
        <v>12369</v>
      </c>
      <c r="M35" s="13">
        <v>5931</v>
      </c>
      <c r="N35" s="13">
        <v>412</v>
      </c>
      <c r="O35" s="15"/>
      <c r="P35" s="6">
        <v>39811.502395833333</v>
      </c>
      <c r="Q35" s="16" t="s">
        <v>144</v>
      </c>
      <c r="R35" s="17" t="s">
        <v>145</v>
      </c>
      <c r="S35" s="11" t="s">
        <v>146</v>
      </c>
      <c r="T35" s="12"/>
      <c r="U35" s="10" t="str">
        <f>HYPERLINK("https://pbs.twimg.com/profile_images/1423190616/203177_1104736911_528524_n2.jpg","View")</f>
        <v>View</v>
      </c>
    </row>
    <row r="36" spans="1:21" ht="30.6">
      <c r="A36" s="6">
        <v>43442.723622685182</v>
      </c>
      <c r="B36" s="7" t="str">
        <f>HYPERLINK("https://twitter.com/aleppowerup","@aleppowerup")</f>
        <v>@aleppowerup</v>
      </c>
      <c r="C36" s="8" t="s">
        <v>213</v>
      </c>
      <c r="D36" s="9" t="s">
        <v>214</v>
      </c>
      <c r="E36" s="10" t="str">
        <f>HYPERLINK("https://twitter.com/aleppowerup/status/1071439768851005440","1071439768851005440")</f>
        <v>1071439768851005440</v>
      </c>
      <c r="F36" s="12"/>
      <c r="G36" s="12"/>
      <c r="H36" s="12"/>
      <c r="I36" s="13">
        <v>0</v>
      </c>
      <c r="J36" s="13">
        <v>0</v>
      </c>
      <c r="K36" s="14" t="str">
        <f>HYPERLINK("http://www.saselandia.com","Aleppospital")</f>
        <v>Aleppospital</v>
      </c>
      <c r="L36" s="13">
        <v>68</v>
      </c>
      <c r="M36" s="13">
        <v>2</v>
      </c>
      <c r="N36" s="13">
        <v>0</v>
      </c>
      <c r="O36" s="15"/>
      <c r="P36" s="6">
        <v>42871.681168981479</v>
      </c>
      <c r="Q36" s="16" t="s">
        <v>215</v>
      </c>
      <c r="R36" s="17" t="s">
        <v>216</v>
      </c>
      <c r="S36" s="12"/>
      <c r="T36" s="12"/>
      <c r="U36" s="10" t="str">
        <f>HYPERLINK("https://pbs.twimg.com/profile_images/864490544394674176/b_K5-sY-.jpg","View")</f>
        <v>View</v>
      </c>
    </row>
    <row r="37" spans="1:21" ht="30.6">
      <c r="A37" s="6">
        <v>43442.72347222222</v>
      </c>
      <c r="B37" s="7" t="str">
        <f>HYPERLINK("https://twitter.com/Ole2006Superole","@Ole2006Superole")</f>
        <v>@Ole2006Superole</v>
      </c>
      <c r="C37" s="8" t="s">
        <v>217</v>
      </c>
      <c r="D37" s="9" t="s">
        <v>218</v>
      </c>
      <c r="E37" s="10" t="str">
        <f>HYPERLINK("https://twitter.com/Ole2006Superole/status/1071439712567652353","1071439712567652353")</f>
        <v>1071439712567652353</v>
      </c>
      <c r="F37" s="12"/>
      <c r="G37" s="12"/>
      <c r="H37" s="12"/>
      <c r="I37" s="13">
        <v>0</v>
      </c>
      <c r="J37" s="13">
        <v>0</v>
      </c>
      <c r="K37" s="14" t="str">
        <f>HYPERLINK("http://twitter.com/download/iphone","Twitter for iPhone")</f>
        <v>Twitter for iPhone</v>
      </c>
      <c r="L37" s="13">
        <v>81</v>
      </c>
      <c r="M37" s="13">
        <v>46</v>
      </c>
      <c r="N37" s="13">
        <v>11</v>
      </c>
      <c r="O37" s="15"/>
      <c r="P37" s="6">
        <v>40872.862395833334</v>
      </c>
      <c r="Q37" s="16" t="s">
        <v>60</v>
      </c>
      <c r="R37" s="17" t="s">
        <v>219</v>
      </c>
      <c r="S37" s="12"/>
      <c r="T37" s="12"/>
      <c r="U37" s="10" t="str">
        <f>HYPERLINK("https://pbs.twimg.com/profile_images/3682159450/181ede3124f85ddd5d29f8fe1e7ea820.jpeg","View")</f>
        <v>View</v>
      </c>
    </row>
    <row r="38" spans="1:21" ht="40.799999999999997">
      <c r="A38" s="6">
        <v>43442.72274305555</v>
      </c>
      <c r="B38" s="7" t="str">
        <f>HYPERLINK("https://twitter.com/valdepusa","@valdepusa")</f>
        <v>@valdepusa</v>
      </c>
      <c r="C38" s="8" t="s">
        <v>221</v>
      </c>
      <c r="D38" s="9" t="s">
        <v>222</v>
      </c>
      <c r="E38" s="10" t="str">
        <f>HYPERLINK("https://twitter.com/valdepusa/status/1071439446770376704","1071439446770376704")</f>
        <v>1071439446770376704</v>
      </c>
      <c r="F38" s="11" t="s">
        <v>223</v>
      </c>
      <c r="G38" s="12"/>
      <c r="H38" s="12"/>
      <c r="I38" s="13">
        <v>0</v>
      </c>
      <c r="J38" s="13">
        <v>0</v>
      </c>
      <c r="K38" s="14" t="str">
        <f>HYPERLINK("http://twitter.com/download/android","Twitter for Android")</f>
        <v>Twitter for Android</v>
      </c>
      <c r="L38" s="13">
        <v>559</v>
      </c>
      <c r="M38" s="13">
        <v>967</v>
      </c>
      <c r="N38" s="13">
        <v>1</v>
      </c>
      <c r="O38" s="15"/>
      <c r="P38" s="6">
        <v>40319.552141203705</v>
      </c>
      <c r="Q38" s="16" t="s">
        <v>224</v>
      </c>
      <c r="R38" s="17" t="s">
        <v>225</v>
      </c>
      <c r="S38" s="12"/>
      <c r="T38" s="12"/>
      <c r="U38" s="10" t="str">
        <f>HYPERLINK("https://pbs.twimg.com/profile_images/985945774432440320/RaWMR1FA.jpg","View")</f>
        <v>View</v>
      </c>
    </row>
    <row r="39" spans="1:21" ht="40.799999999999997">
      <c r="A39" s="6">
        <v>43442.722303240742</v>
      </c>
      <c r="B39" s="7" t="str">
        <f>HYPERLINK("https://twitter.com/lextresabogados","@lextresabogados")</f>
        <v>@lextresabogados</v>
      </c>
      <c r="C39" s="8" t="s">
        <v>226</v>
      </c>
      <c r="D39" s="9" t="s">
        <v>227</v>
      </c>
      <c r="E39" s="10" t="str">
        <f>HYPERLINK("https://twitter.com/lextresabogados/status/1071439288863244294","1071439288863244294")</f>
        <v>1071439288863244294</v>
      </c>
      <c r="F39" s="11" t="s">
        <v>229</v>
      </c>
      <c r="G39" s="12"/>
      <c r="H39" s="12"/>
      <c r="I39" s="13">
        <v>0</v>
      </c>
      <c r="J39" s="13">
        <v>0</v>
      </c>
      <c r="K39" s="14" t="str">
        <f>HYPERLINK("http://35.180.36.179","botize nueva")</f>
        <v>botize nueva</v>
      </c>
      <c r="L39" s="13">
        <v>2912</v>
      </c>
      <c r="M39" s="13">
        <v>3525</v>
      </c>
      <c r="N39" s="13">
        <v>26</v>
      </c>
      <c r="O39" s="15"/>
      <c r="P39" s="6">
        <v>42880.770949074074</v>
      </c>
      <c r="Q39" s="16" t="s">
        <v>230</v>
      </c>
      <c r="R39" s="17" t="s">
        <v>231</v>
      </c>
      <c r="S39" s="11" t="s">
        <v>232</v>
      </c>
      <c r="T39" s="12"/>
      <c r="U39" s="10" t="str">
        <f>HYPERLINK("https://pbs.twimg.com/profile_images/1068056978679898113/YnjKwiVy.jpg","View")</f>
        <v>View</v>
      </c>
    </row>
    <row r="40" spans="1:21" ht="40.799999999999997">
      <c r="A40" s="6">
        <v>43442.721122685187</v>
      </c>
      <c r="B40" s="7" t="str">
        <f>HYPERLINK("https://twitter.com/abcespana","@abcespana")</f>
        <v>@abcespana</v>
      </c>
      <c r="C40" s="8" t="s">
        <v>235</v>
      </c>
      <c r="D40" s="9" t="s">
        <v>236</v>
      </c>
      <c r="E40" s="10" t="str">
        <f>HYPERLINK("https://twitter.com/abcespana/status/1071438862872920064","1071438862872920064")</f>
        <v>1071438862872920064</v>
      </c>
      <c r="F40" s="11" t="s">
        <v>239</v>
      </c>
      <c r="G40" s="12"/>
      <c r="H40" s="12"/>
      <c r="I40" s="13">
        <v>0</v>
      </c>
      <c r="J40" s="13">
        <v>0</v>
      </c>
      <c r="K40" s="14" t="str">
        <f>HYPERLINK("http://dogtrack.es","DogTrack_Oficial")</f>
        <v>DogTrack_Oficial</v>
      </c>
      <c r="L40" s="13">
        <v>12382</v>
      </c>
      <c r="M40" s="13">
        <v>199</v>
      </c>
      <c r="N40" s="13">
        <v>222</v>
      </c>
      <c r="O40" s="18" t="s">
        <v>41</v>
      </c>
      <c r="P40" s="6">
        <v>41820.4840625</v>
      </c>
      <c r="Q40" s="12"/>
      <c r="R40" s="17" t="s">
        <v>240</v>
      </c>
      <c r="S40" s="11" t="s">
        <v>241</v>
      </c>
      <c r="T40" s="12"/>
      <c r="U40" s="10" t="str">
        <f>HYPERLINK("https://pbs.twimg.com/profile_images/660003544939012096/foGuoVBZ.png","View")</f>
        <v>View</v>
      </c>
    </row>
    <row r="41" spans="1:21" ht="40.799999999999997">
      <c r="A41" s="6">
        <v>43442.72075231481</v>
      </c>
      <c r="B41" s="7" t="str">
        <f>HYPERLINK("https://twitter.com/LuisBonnete","@LuisBonnete")</f>
        <v>@LuisBonnete</v>
      </c>
      <c r="C41" s="8" t="s">
        <v>242</v>
      </c>
      <c r="D41" s="9" t="s">
        <v>243</v>
      </c>
      <c r="E41" s="10" t="str">
        <f>HYPERLINK("https://twitter.com/LuisBonnete/status/1071438727044575232","1071438727044575232")</f>
        <v>1071438727044575232</v>
      </c>
      <c r="F41" s="12"/>
      <c r="G41" s="12"/>
      <c r="H41" s="12"/>
      <c r="I41" s="13">
        <v>0</v>
      </c>
      <c r="J41" s="13">
        <v>0</v>
      </c>
      <c r="K41" s="14" t="str">
        <f t="shared" ref="K41:K43" si="9">HYPERLINK("http://twitter.com","Twitter Web Client")</f>
        <v>Twitter Web Client</v>
      </c>
      <c r="L41" s="13">
        <v>254</v>
      </c>
      <c r="M41" s="13">
        <v>40</v>
      </c>
      <c r="N41" s="13">
        <v>3</v>
      </c>
      <c r="O41" s="15"/>
      <c r="P41" s="6">
        <v>41370.887002314819</v>
      </c>
      <c r="Q41" s="16" t="s">
        <v>249</v>
      </c>
      <c r="R41" s="17" t="s">
        <v>250</v>
      </c>
      <c r="S41" s="11" t="s">
        <v>251</v>
      </c>
      <c r="T41" s="12"/>
      <c r="U41" s="10" t="str">
        <f>HYPERLINK("https://pbs.twimg.com/profile_images/870358729014816769/X5apIZJr.jpg","View")</f>
        <v>View</v>
      </c>
    </row>
    <row r="42" spans="1:21" ht="51">
      <c r="A42" s="6">
        <v>43442.720625000002</v>
      </c>
      <c r="B42" s="7" t="str">
        <f>HYPERLINK("https://twitter.com/guSEXnito","@guSEXnito")</f>
        <v>@guSEXnito</v>
      </c>
      <c r="C42" s="8" t="s">
        <v>252</v>
      </c>
      <c r="D42" s="9" t="s">
        <v>253</v>
      </c>
      <c r="E42" s="10" t="str">
        <f>HYPERLINK("https://twitter.com/guSEXnito/status/1071438682626887680","1071438682626887680")</f>
        <v>1071438682626887680</v>
      </c>
      <c r="F42" s="11" t="s">
        <v>254</v>
      </c>
      <c r="G42" s="12"/>
      <c r="H42" s="12"/>
      <c r="I42" s="13">
        <v>0</v>
      </c>
      <c r="J42" s="13">
        <v>0</v>
      </c>
      <c r="K42" s="14" t="str">
        <f t="shared" si="9"/>
        <v>Twitter Web Client</v>
      </c>
      <c r="L42" s="13">
        <v>109</v>
      </c>
      <c r="M42" s="13">
        <v>190</v>
      </c>
      <c r="N42" s="13">
        <v>6</v>
      </c>
      <c r="O42" s="15"/>
      <c r="P42" s="6">
        <v>41232.742777777778</v>
      </c>
      <c r="Q42" s="16" t="s">
        <v>255</v>
      </c>
      <c r="R42" s="17" t="s">
        <v>257</v>
      </c>
      <c r="S42" s="12"/>
      <c r="T42" s="12"/>
      <c r="U42" s="10" t="str">
        <f>HYPERLINK("https://pbs.twimg.com/profile_images/478157168340787202/SzXyyFbE.jpeg","View")</f>
        <v>View</v>
      </c>
    </row>
    <row r="43" spans="1:21" ht="51">
      <c r="A43" s="6">
        <v>43442.72038194444</v>
      </c>
      <c r="B43" s="7" t="str">
        <f>HYPERLINK("https://twitter.com/Sr_Don_Uno","@Sr_Don_Uno")</f>
        <v>@Sr_Don_Uno</v>
      </c>
      <c r="C43" s="8" t="s">
        <v>260</v>
      </c>
      <c r="D43" s="9" t="s">
        <v>261</v>
      </c>
      <c r="E43" s="10" t="str">
        <f>HYPERLINK("https://twitter.com/Sr_Don_Uno/status/1071438594164830208","1071438594164830208")</f>
        <v>1071438594164830208</v>
      </c>
      <c r="F43" s="12"/>
      <c r="G43" s="11" t="s">
        <v>263</v>
      </c>
      <c r="H43" s="12"/>
      <c r="I43" s="13">
        <v>2</v>
      </c>
      <c r="J43" s="13">
        <v>4</v>
      </c>
      <c r="K43" s="14" t="str">
        <f t="shared" si="9"/>
        <v>Twitter Web Client</v>
      </c>
      <c r="L43" s="13">
        <v>788</v>
      </c>
      <c r="M43" s="13">
        <v>1420</v>
      </c>
      <c r="N43" s="13">
        <v>5</v>
      </c>
      <c r="O43" s="15"/>
      <c r="P43" s="6">
        <v>42572.495092592595</v>
      </c>
      <c r="Q43" s="12"/>
      <c r="R43" s="17" t="s">
        <v>264</v>
      </c>
      <c r="S43" s="12"/>
      <c r="T43" s="12"/>
      <c r="U43" s="10" t="str">
        <f>HYPERLINK("https://pbs.twimg.com/profile_images/1045708703951974400/hHfMSXCD.jpg","View")</f>
        <v>View</v>
      </c>
    </row>
    <row r="44" spans="1:21" ht="20.399999999999999">
      <c r="A44" s="6">
        <v>43442.720312500001</v>
      </c>
      <c r="B44" s="7" t="str">
        <f>HYPERLINK("https://twitter.com/gabimaite","@gabimaite")</f>
        <v>@gabimaite</v>
      </c>
      <c r="C44" s="8" t="s">
        <v>267</v>
      </c>
      <c r="D44" s="9" t="s">
        <v>268</v>
      </c>
      <c r="E44" s="10" t="str">
        <f>HYPERLINK("https://twitter.com/gabimaite/status/1071438567187079171","1071438567187079171")</f>
        <v>1071438567187079171</v>
      </c>
      <c r="F44" s="11" t="s">
        <v>269</v>
      </c>
      <c r="G44" s="12"/>
      <c r="H44" s="12"/>
      <c r="I44" s="13">
        <v>0</v>
      </c>
      <c r="J44" s="13">
        <v>0</v>
      </c>
      <c r="K44" s="14" t="str">
        <f>HYPERLINK("http://www.facebook.com/twitter","Facebook")</f>
        <v>Facebook</v>
      </c>
      <c r="L44" s="13">
        <v>256</v>
      </c>
      <c r="M44" s="13">
        <v>456</v>
      </c>
      <c r="N44" s="13">
        <v>0</v>
      </c>
      <c r="O44" s="15"/>
      <c r="P44" s="6">
        <v>40525.856006944443</v>
      </c>
      <c r="Q44" s="16" t="s">
        <v>270</v>
      </c>
      <c r="R44" s="17" t="s">
        <v>271</v>
      </c>
      <c r="S44" s="12"/>
      <c r="T44" s="12"/>
      <c r="U44" s="10" t="str">
        <f>HYPERLINK("https://pbs.twimg.com/profile_images/1004047361042276354/Ek4fxGTR.jpg","View")</f>
        <v>View</v>
      </c>
    </row>
    <row r="45" spans="1:21" ht="61.2">
      <c r="A45" s="6">
        <v>43442.720150462963</v>
      </c>
      <c r="B45" s="7" t="str">
        <f>HYPERLINK("https://twitter.com/RenePerle","@RenePerle")</f>
        <v>@RenePerle</v>
      </c>
      <c r="C45" s="8" t="s">
        <v>272</v>
      </c>
      <c r="D45" s="9" t="s">
        <v>273</v>
      </c>
      <c r="E45" s="10" t="str">
        <f>HYPERLINK("https://twitter.com/RenePerle/status/1071438506818449409","1071438506818449409")</f>
        <v>1071438506818449409</v>
      </c>
      <c r="F45" s="11" t="s">
        <v>274</v>
      </c>
      <c r="G45" s="11" t="s">
        <v>275</v>
      </c>
      <c r="H45" s="12"/>
      <c r="I45" s="13">
        <v>0</v>
      </c>
      <c r="J45" s="13">
        <v>3</v>
      </c>
      <c r="K45" s="14" t="str">
        <f>HYPERLINK("http://twitter.com/download/android","Twitter for Android")</f>
        <v>Twitter for Android</v>
      </c>
      <c r="L45" s="13">
        <v>3949</v>
      </c>
      <c r="M45" s="13">
        <v>2486</v>
      </c>
      <c r="N45" s="13">
        <v>86</v>
      </c>
      <c r="O45" s="15"/>
      <c r="P45" s="6">
        <v>40680.411226851851</v>
      </c>
      <c r="Q45" s="16" t="s">
        <v>276</v>
      </c>
      <c r="R45" s="17" t="s">
        <v>277</v>
      </c>
      <c r="S45" s="12"/>
      <c r="T45" s="12"/>
      <c r="U45" s="10" t="str">
        <f>HYPERLINK("https://pbs.twimg.com/profile_images/1008131899510968325/aTGs5_Og.jpg","View")</f>
        <v>View</v>
      </c>
    </row>
    <row r="46" spans="1:21" ht="30.6">
      <c r="A46" s="6">
        <v>43442.719583333332</v>
      </c>
      <c r="B46" s="7" t="str">
        <f>HYPERLINK("https://twitter.com/JesusSemperfree","@JesusSemperfree")</f>
        <v>@JesusSemperfree</v>
      </c>
      <c r="C46" s="8" t="s">
        <v>278</v>
      </c>
      <c r="D46" s="9" t="s">
        <v>279</v>
      </c>
      <c r="E46" s="10" t="str">
        <f>HYPERLINK("https://twitter.com/JesusSemperfree/status/1071438301217873922","1071438301217873922")</f>
        <v>1071438301217873922</v>
      </c>
      <c r="F46" s="12"/>
      <c r="G46" s="12"/>
      <c r="H46" s="12"/>
      <c r="I46" s="13">
        <v>0</v>
      </c>
      <c r="J46" s="13">
        <v>6</v>
      </c>
      <c r="K46" s="14" t="str">
        <f>HYPERLINK("http://twitter.com","Twitter Web Client")</f>
        <v>Twitter Web Client</v>
      </c>
      <c r="L46" s="13">
        <v>853</v>
      </c>
      <c r="M46" s="13">
        <v>708</v>
      </c>
      <c r="N46" s="13">
        <v>3</v>
      </c>
      <c r="O46" s="15"/>
      <c r="P46" s="6">
        <v>41045.939050925925</v>
      </c>
      <c r="Q46" s="16" t="s">
        <v>280</v>
      </c>
      <c r="R46" s="17" t="s">
        <v>281</v>
      </c>
      <c r="S46" s="12"/>
      <c r="T46" s="12"/>
      <c r="U46" s="10" t="str">
        <f>HYPERLINK("https://pbs.twimg.com/profile_images/1071116382459322368/SoVyGyP7.jpg","View")</f>
        <v>View</v>
      </c>
    </row>
    <row r="47" spans="1:21" ht="30.6">
      <c r="A47" s="6">
        <v>43442.719502314816</v>
      </c>
      <c r="B47" s="7" t="str">
        <f>HYPERLINK("https://twitter.com/merengue1967","@merengue1967")</f>
        <v>@merengue1967</v>
      </c>
      <c r="C47" s="8" t="s">
        <v>283</v>
      </c>
      <c r="D47" s="9" t="s">
        <v>284</v>
      </c>
      <c r="E47" s="10" t="str">
        <f>HYPERLINK("https://twitter.com/merengue1967/status/1071438273749377027","1071438273749377027")</f>
        <v>1071438273749377027</v>
      </c>
      <c r="F47" s="12"/>
      <c r="G47" s="12"/>
      <c r="H47" s="12"/>
      <c r="I47" s="13">
        <v>0</v>
      </c>
      <c r="J47" s="13">
        <v>1</v>
      </c>
      <c r="K47" s="14" t="str">
        <f>HYPERLINK("http://twitter.com/download/android","Twitter for Android")</f>
        <v>Twitter for Android</v>
      </c>
      <c r="L47" s="13">
        <v>2048</v>
      </c>
      <c r="M47" s="13">
        <v>1604</v>
      </c>
      <c r="N47" s="13">
        <v>8</v>
      </c>
      <c r="O47" s="15"/>
      <c r="P47" s="6">
        <v>40249.062523148146</v>
      </c>
      <c r="Q47" s="16" t="s">
        <v>286</v>
      </c>
      <c r="R47" s="17" t="s">
        <v>287</v>
      </c>
      <c r="S47" s="12"/>
      <c r="T47" s="12"/>
      <c r="U47" s="10" t="str">
        <f>HYPERLINK("https://pbs.twimg.com/profile_images/1006664653446025217/tR1dH6XB.jpg","View")</f>
        <v>View</v>
      </c>
    </row>
    <row r="48" spans="1:21" ht="91.8">
      <c r="A48" s="6">
        <v>43442.718969907408</v>
      </c>
      <c r="B48" s="7" t="str">
        <f>HYPERLINK("https://twitter.com/SoniaSierra02","@SoniaSierra02")</f>
        <v>@SoniaSierra02</v>
      </c>
      <c r="C48" s="8" t="s">
        <v>288</v>
      </c>
      <c r="D48" s="9" t="s">
        <v>289</v>
      </c>
      <c r="E48" s="10" t="str">
        <f>HYPERLINK("https://twitter.com/SoniaSierra02/status/1071438082203967488","1071438082203967488")</f>
        <v>1071438082203967488</v>
      </c>
      <c r="F48" s="11" t="s">
        <v>262</v>
      </c>
      <c r="G48" s="12"/>
      <c r="H48" s="12"/>
      <c r="I48" s="13">
        <v>10</v>
      </c>
      <c r="J48" s="13">
        <v>10</v>
      </c>
      <c r="K48" s="14" t="str">
        <f>HYPERLINK("http://twitter.com/download/iphone","Twitter for iPhone")</f>
        <v>Twitter for iPhone</v>
      </c>
      <c r="L48" s="13">
        <v>9713</v>
      </c>
      <c r="M48" s="13">
        <v>1956</v>
      </c>
      <c r="N48" s="13">
        <v>155</v>
      </c>
      <c r="O48" s="15"/>
      <c r="P48" s="6">
        <v>40150.920729166668</v>
      </c>
      <c r="Q48" s="16" t="s">
        <v>85</v>
      </c>
      <c r="R48" s="17" t="s">
        <v>290</v>
      </c>
      <c r="S48" s="11" t="s">
        <v>291</v>
      </c>
      <c r="T48" s="12"/>
      <c r="U48" s="10" t="str">
        <f>HYPERLINK("https://pbs.twimg.com/profile_images/1062096601043386369/CNxqIGih.jpg","View")</f>
        <v>View</v>
      </c>
    </row>
    <row r="49" spans="1:21" ht="51">
      <c r="A49" s="6">
        <v>43442.718969907408</v>
      </c>
      <c r="B49" s="7" t="str">
        <f>HYPERLINK("https://twitter.com/MiguelTrinidadA","@MiguelTrinidadA")</f>
        <v>@MiguelTrinidadA</v>
      </c>
      <c r="C49" s="8" t="s">
        <v>292</v>
      </c>
      <c r="D49" s="9" t="s">
        <v>293</v>
      </c>
      <c r="E49" s="10" t="str">
        <f>HYPERLINK("https://twitter.com/MiguelTrinidadA/status/1071438080500998144","1071438080500998144")</f>
        <v>1071438080500998144</v>
      </c>
      <c r="F49" s="11" t="s">
        <v>294</v>
      </c>
      <c r="G49" s="12"/>
      <c r="H49" s="12"/>
      <c r="I49" s="13">
        <v>1</v>
      </c>
      <c r="J49" s="13">
        <v>0</v>
      </c>
      <c r="K49" s="14" t="str">
        <f>HYPERLINK("http://twitter.com","Twitter Web Client")</f>
        <v>Twitter Web Client</v>
      </c>
      <c r="L49" s="13">
        <v>3529</v>
      </c>
      <c r="M49" s="13">
        <v>3678</v>
      </c>
      <c r="N49" s="13">
        <v>35</v>
      </c>
      <c r="O49" s="15"/>
      <c r="P49" s="6">
        <v>41180.740416666667</v>
      </c>
      <c r="Q49" s="16" t="s">
        <v>60</v>
      </c>
      <c r="R49" s="17" t="s">
        <v>295</v>
      </c>
      <c r="S49" s="12"/>
      <c r="T49" s="12"/>
      <c r="U49" s="10" t="str">
        <f>HYPERLINK("https://pbs.twimg.com/profile_images/843509060167262210/lz-DfFMm.jpg","View")</f>
        <v>View</v>
      </c>
    </row>
    <row r="50" spans="1:21" ht="20.399999999999999">
      <c r="A50" s="6">
        <v>43442.717951388884</v>
      </c>
      <c r="B50" s="7" t="str">
        <f>HYPERLINK("https://twitter.com/LaVanguardia","@LaVanguardia")</f>
        <v>@LaVanguardia</v>
      </c>
      <c r="C50" s="8" t="s">
        <v>297</v>
      </c>
      <c r="D50" s="9" t="s">
        <v>227</v>
      </c>
      <c r="E50" s="10" t="str">
        <f>HYPERLINK("https://twitter.com/LaVanguardia/status/1071437710773112832","1071437710773112832")</f>
        <v>1071437710773112832</v>
      </c>
      <c r="F50" s="11" t="s">
        <v>229</v>
      </c>
      <c r="G50" s="12"/>
      <c r="H50" s="12"/>
      <c r="I50" s="13">
        <v>2</v>
      </c>
      <c r="J50" s="13">
        <v>4</v>
      </c>
      <c r="K50" s="14" t="str">
        <f>HYPERLINK("http://www.lavanguardia.es","App publicación twits DGRID")</f>
        <v>App publicación twits DGRID</v>
      </c>
      <c r="L50" s="13">
        <v>999506</v>
      </c>
      <c r="M50" s="13">
        <v>524</v>
      </c>
      <c r="N50" s="13">
        <v>12587</v>
      </c>
      <c r="O50" s="18" t="s">
        <v>41</v>
      </c>
      <c r="P50" s="6">
        <v>40071.664548611108</v>
      </c>
      <c r="Q50" s="16" t="s">
        <v>85</v>
      </c>
      <c r="R50" s="17" t="s">
        <v>301</v>
      </c>
      <c r="S50" s="11" t="s">
        <v>304</v>
      </c>
      <c r="T50" s="12"/>
      <c r="U50" s="10" t="str">
        <f>HYPERLINK("https://pbs.twimg.com/profile_images/936873783721320448/6Q97S0pp.jpg","View")</f>
        <v>View</v>
      </c>
    </row>
    <row r="51" spans="1:21" ht="40.799999999999997">
      <c r="A51" s="6">
        <v>43442.71775462963</v>
      </c>
      <c r="B51" s="7" t="str">
        <f>HYPERLINK("https://twitter.com/AThable","@AThable")</f>
        <v>@AThable</v>
      </c>
      <c r="C51" s="8" t="s">
        <v>308</v>
      </c>
      <c r="D51" s="9" t="s">
        <v>310</v>
      </c>
      <c r="E51" s="10" t="str">
        <f>HYPERLINK("https://twitter.com/AThable/status/1071437641764216832","1071437641764216832")</f>
        <v>1071437641764216832</v>
      </c>
      <c r="F51" s="11" t="s">
        <v>313</v>
      </c>
      <c r="G51" s="12"/>
      <c r="H51" s="12"/>
      <c r="I51" s="13">
        <v>0</v>
      </c>
      <c r="J51" s="13">
        <v>0</v>
      </c>
      <c r="K51" s="14" t="str">
        <f>HYPERLINK("http://twitter.com/download/android","Twitter for Android")</f>
        <v>Twitter for Android</v>
      </c>
      <c r="L51" s="13">
        <v>135</v>
      </c>
      <c r="M51" s="13">
        <v>254</v>
      </c>
      <c r="N51" s="13">
        <v>4</v>
      </c>
      <c r="O51" s="15"/>
      <c r="P51" s="6">
        <v>41734.528715277775</v>
      </c>
      <c r="Q51" s="12"/>
      <c r="R51" s="19"/>
      <c r="S51" s="12"/>
      <c r="T51" s="12"/>
      <c r="U51" s="10" t="str">
        <f>HYPERLINK("https://pbs.twimg.com/profile_images/452396308738105344/uAoxhinN.jpeg","View")</f>
        <v>View</v>
      </c>
    </row>
    <row r="52" spans="1:21" ht="20.399999999999999">
      <c r="A52" s="6">
        <v>43442.717175925922</v>
      </c>
      <c r="B52" s="7" t="str">
        <f>HYPERLINK("https://twitter.com/rogotronk","@rogotronk")</f>
        <v>@rogotronk</v>
      </c>
      <c r="C52" s="8" t="s">
        <v>317</v>
      </c>
      <c r="D52" s="9" t="s">
        <v>318</v>
      </c>
      <c r="E52" s="10" t="str">
        <f>HYPERLINK("https://twitter.com/rogotronk/status/1071437429926780928","1071437429926780928")</f>
        <v>1071437429926780928</v>
      </c>
      <c r="F52" s="11" t="s">
        <v>320</v>
      </c>
      <c r="G52" s="12"/>
      <c r="H52" s="12"/>
      <c r="I52" s="13">
        <v>0</v>
      </c>
      <c r="J52" s="13">
        <v>0</v>
      </c>
      <c r="K52" s="14" t="str">
        <f>HYPERLINK("http://twitter.com/download/iphone","Twitter for iPhone")</f>
        <v>Twitter for iPhone</v>
      </c>
      <c r="L52" s="13">
        <v>1197</v>
      </c>
      <c r="M52" s="13">
        <v>1229</v>
      </c>
      <c r="N52" s="13">
        <v>1</v>
      </c>
      <c r="O52" s="15"/>
      <c r="P52" s="6">
        <v>43224.809467592597</v>
      </c>
      <c r="Q52" s="16" t="s">
        <v>325</v>
      </c>
      <c r="R52" s="17" t="s">
        <v>326</v>
      </c>
      <c r="S52" s="12"/>
      <c r="T52" s="12"/>
      <c r="U52" s="10" t="str">
        <f>HYPERLINK("https://pbs.twimg.com/profile_images/1063153571196231685/6WvtEsaN.jpg","View")</f>
        <v>View</v>
      </c>
    </row>
    <row r="53" spans="1:21" ht="71.400000000000006">
      <c r="A53" s="6">
        <v>43442.717094907406</v>
      </c>
      <c r="B53" s="7" t="str">
        <f>HYPERLINK("https://twitter.com/ElisabetQuinI","@ElisabetQuinI")</f>
        <v>@ElisabetQuinI</v>
      </c>
      <c r="C53" s="8" t="s">
        <v>329</v>
      </c>
      <c r="D53" s="9" t="s">
        <v>330</v>
      </c>
      <c r="E53" s="10" t="str">
        <f>HYPERLINK("https://twitter.com/ElisabetQuinI/status/1071437401371893760","1071437401371893760")</f>
        <v>1071437401371893760</v>
      </c>
      <c r="F53" s="16" t="s">
        <v>332</v>
      </c>
      <c r="G53" s="12"/>
      <c r="H53" s="12"/>
      <c r="I53" s="13">
        <v>0</v>
      </c>
      <c r="J53" s="13">
        <v>0</v>
      </c>
      <c r="K53" s="14" t="str">
        <f>HYPERLINK("http://twitter.com/download/android","Twitter for Android")</f>
        <v>Twitter for Android</v>
      </c>
      <c r="L53" s="13">
        <v>41</v>
      </c>
      <c r="M53" s="13">
        <v>189</v>
      </c>
      <c r="N53" s="13">
        <v>3</v>
      </c>
      <c r="O53" s="15"/>
      <c r="P53" s="6">
        <v>41830.906458333331</v>
      </c>
      <c r="Q53" s="16" t="s">
        <v>325</v>
      </c>
      <c r="R53" s="17" t="s">
        <v>336</v>
      </c>
      <c r="S53" s="12"/>
      <c r="T53" s="12"/>
      <c r="U53" s="10" t="str">
        <f>HYPERLINK("https://pbs.twimg.com/profile_images/487323798882877440/hnVErAzd.jpeg","View")</f>
        <v>View</v>
      </c>
    </row>
    <row r="54" spans="1:21" ht="51">
      <c r="A54" s="6">
        <v>43442.716944444444</v>
      </c>
      <c r="B54" s="7" t="str">
        <f>HYPERLINK("https://twitter.com/PachakutikG","@PachakutikG")</f>
        <v>@PachakutikG</v>
      </c>
      <c r="C54" s="8" t="s">
        <v>337</v>
      </c>
      <c r="D54" s="9" t="s">
        <v>338</v>
      </c>
      <c r="E54" s="10" t="str">
        <f>HYPERLINK("https://twitter.com/PachakutikG/status/1071437347579928576","1071437347579928576")</f>
        <v>1071437347579928576</v>
      </c>
      <c r="F54" s="12"/>
      <c r="G54" s="11" t="s">
        <v>340</v>
      </c>
      <c r="H54" s="12"/>
      <c r="I54" s="13">
        <v>0</v>
      </c>
      <c r="J54" s="13">
        <v>0</v>
      </c>
      <c r="K54" s="14" t="str">
        <f>HYPERLINK("http://twitter.com","Twitter Web Client")</f>
        <v>Twitter Web Client</v>
      </c>
      <c r="L54" s="13">
        <v>25</v>
      </c>
      <c r="M54" s="13">
        <v>167</v>
      </c>
      <c r="N54" s="13">
        <v>0</v>
      </c>
      <c r="O54" s="15"/>
      <c r="P54" s="6">
        <v>43406.692118055551</v>
      </c>
      <c r="Q54" s="16" t="s">
        <v>341</v>
      </c>
      <c r="R54" s="17" t="s">
        <v>342</v>
      </c>
      <c r="S54" s="12"/>
      <c r="T54" s="12"/>
      <c r="U54" s="10" t="str">
        <f>HYPERLINK("https://pbs.twimg.com/profile_images/1060226923568291841/FI9JXd2L.jpg","View")</f>
        <v>View</v>
      </c>
    </row>
    <row r="55" spans="1:21" ht="30.6">
      <c r="A55" s="6">
        <v>43442.716493055559</v>
      </c>
      <c r="B55" s="7" t="str">
        <f>HYPERLINK("https://twitter.com/rrey","@rrey")</f>
        <v>@rrey</v>
      </c>
      <c r="C55" s="8" t="s">
        <v>343</v>
      </c>
      <c r="D55" s="9" t="s">
        <v>344</v>
      </c>
      <c r="E55" s="10" t="str">
        <f>HYPERLINK("https://twitter.com/rrey/status/1071437184589332485","1071437184589332485")</f>
        <v>1071437184589332485</v>
      </c>
      <c r="F55" s="12"/>
      <c r="G55" s="12"/>
      <c r="H55" s="12"/>
      <c r="I55" s="13">
        <v>0</v>
      </c>
      <c r="J55" s="13">
        <v>1</v>
      </c>
      <c r="K55" s="14" t="str">
        <f>HYPERLINK("https://mobile.twitter.com","Twitter Lite")</f>
        <v>Twitter Lite</v>
      </c>
      <c r="L55" s="13">
        <v>3589</v>
      </c>
      <c r="M55" s="13">
        <v>399</v>
      </c>
      <c r="N55" s="13">
        <v>301</v>
      </c>
      <c r="O55" s="15"/>
      <c r="P55" s="6">
        <v>39789.803159722222</v>
      </c>
      <c r="Q55" s="16" t="s">
        <v>345</v>
      </c>
      <c r="R55" s="17" t="s">
        <v>346</v>
      </c>
      <c r="S55" s="11" t="s">
        <v>347</v>
      </c>
      <c r="T55" s="12"/>
      <c r="U55" s="10" t="str">
        <f>HYPERLINK("https://pbs.twimg.com/profile_images/863373724975812612/0AG3I0-E.jpg","View")</f>
        <v>View</v>
      </c>
    </row>
    <row r="56" spans="1:21" ht="91.8">
      <c r="A56" s="6">
        <v>43442.714050925926</v>
      </c>
      <c r="B56" s="7" t="str">
        <f>HYPERLINK("https://twitter.com/elsofistaquefui","@elsofistaquefui")</f>
        <v>@elsofistaquefui</v>
      </c>
      <c r="C56" s="8" t="s">
        <v>350</v>
      </c>
      <c r="D56" s="9" t="s">
        <v>351</v>
      </c>
      <c r="E56" s="10" t="str">
        <f>HYPERLINK("https://twitter.com/elsofistaquefui/status/1071436297498177536","1071436297498177536")</f>
        <v>1071436297498177536</v>
      </c>
      <c r="F56" s="11" t="s">
        <v>262</v>
      </c>
      <c r="G56" s="12"/>
      <c r="H56" s="12"/>
      <c r="I56" s="13">
        <v>0</v>
      </c>
      <c r="J56" s="13">
        <v>0</v>
      </c>
      <c r="K56" s="14" t="str">
        <f>HYPERLINK("http://twitter.com/download/android","Twitter for Android")</f>
        <v>Twitter for Android</v>
      </c>
      <c r="L56" s="13">
        <v>348</v>
      </c>
      <c r="M56" s="13">
        <v>802</v>
      </c>
      <c r="N56" s="13">
        <v>7</v>
      </c>
      <c r="O56" s="15"/>
      <c r="P56" s="6">
        <v>40964.864479166667</v>
      </c>
      <c r="Q56" s="12"/>
      <c r="R56" s="17" t="s">
        <v>352</v>
      </c>
      <c r="S56" s="12"/>
      <c r="T56" s="12"/>
      <c r="U56" s="10" t="str">
        <f>HYPERLINK("https://pbs.twimg.com/profile_images/1052680359769501696/iPSjr18Z.jpg","View")</f>
        <v>View</v>
      </c>
    </row>
    <row r="57" spans="1:21" ht="30.6">
      <c r="A57" s="6">
        <v>43442.713171296295</v>
      </c>
      <c r="B57" s="7" t="str">
        <f>HYPERLINK("https://twitter.com/WillyTolerdoo","@WillyTolerdoo")</f>
        <v>@WillyTolerdoo</v>
      </c>
      <c r="C57" s="8" t="s">
        <v>354</v>
      </c>
      <c r="D57" s="9" t="s">
        <v>355</v>
      </c>
      <c r="E57" s="10" t="str">
        <f>HYPERLINK("https://twitter.com/WillyTolerdoo/status/1071435980874440704","1071435980874440704")</f>
        <v>1071435980874440704</v>
      </c>
      <c r="F57" s="12"/>
      <c r="G57" s="11" t="s">
        <v>358</v>
      </c>
      <c r="H57" s="12"/>
      <c r="I57" s="13">
        <v>34</v>
      </c>
      <c r="J57" s="13">
        <v>64</v>
      </c>
      <c r="K57" s="14" t="str">
        <f>HYPERLINK("http://twitter.com","Twitter Web Client")</f>
        <v>Twitter Web Client</v>
      </c>
      <c r="L57" s="13">
        <v>50123</v>
      </c>
      <c r="M57" s="13">
        <v>2061</v>
      </c>
      <c r="N57" s="13">
        <v>307</v>
      </c>
      <c r="O57" s="15"/>
      <c r="P57" s="6">
        <v>42038.625081018516</v>
      </c>
      <c r="Q57" s="16" t="s">
        <v>360</v>
      </c>
      <c r="R57" s="17" t="s">
        <v>361</v>
      </c>
      <c r="S57" s="12"/>
      <c r="T57" s="12"/>
      <c r="U57" s="10" t="str">
        <f>HYPERLINK("https://pbs.twimg.com/profile_images/581839453527941120/GGYbnx0T.jpg","View")</f>
        <v>View</v>
      </c>
    </row>
    <row r="58" spans="1:21" ht="20.399999999999999">
      <c r="A58" s="6">
        <v>43442.712824074071</v>
      </c>
      <c r="B58" s="7" t="str">
        <f>HYPERLINK("https://twitter.com/VaIIsDe","@VaIIsDe")</f>
        <v>@VaIIsDe</v>
      </c>
      <c r="C58" s="8" t="s">
        <v>363</v>
      </c>
      <c r="D58" s="9" t="s">
        <v>364</v>
      </c>
      <c r="E58" s="10" t="str">
        <f>HYPERLINK("https://twitter.com/VaIIsDe/status/1071435852922974208","1071435852922974208")</f>
        <v>1071435852922974208</v>
      </c>
      <c r="F58" s="11" t="s">
        <v>365</v>
      </c>
      <c r="G58" s="12"/>
      <c r="H58" s="12"/>
      <c r="I58" s="13">
        <v>0</v>
      </c>
      <c r="J58" s="13">
        <v>0</v>
      </c>
      <c r="K58" s="14" t="str">
        <f t="shared" ref="K58:K59" si="10">HYPERLINK("http://twitter.com/download/android","Twitter for Android")</f>
        <v>Twitter for Android</v>
      </c>
      <c r="L58" s="13">
        <v>1637</v>
      </c>
      <c r="M58" s="13">
        <v>831</v>
      </c>
      <c r="N58" s="13">
        <v>14</v>
      </c>
      <c r="O58" s="15"/>
      <c r="P58" s="6">
        <v>40864.441261574073</v>
      </c>
      <c r="Q58" s="16" t="s">
        <v>367</v>
      </c>
      <c r="R58" s="17" t="s">
        <v>368</v>
      </c>
      <c r="S58" s="12"/>
      <c r="T58" s="12"/>
      <c r="U58" s="10" t="str">
        <f>HYPERLINK("https://pbs.twimg.com/profile_images/943407567597948928/TJ_BwVNB.jpg","View")</f>
        <v>View</v>
      </c>
    </row>
    <row r="59" spans="1:21" ht="81.599999999999994">
      <c r="A59" s="6">
        <v>43442.711886574078</v>
      </c>
      <c r="B59" s="7" t="str">
        <f>HYPERLINK("https://twitter.com/juanbracuhi","@juanbracuhi")</f>
        <v>@juanbracuhi</v>
      </c>
      <c r="C59" s="8" t="s">
        <v>327</v>
      </c>
      <c r="D59" s="9" t="s">
        <v>369</v>
      </c>
      <c r="E59" s="10" t="str">
        <f>HYPERLINK("https://twitter.com/juanbracuhi/status/1071435513847078913","1071435513847078913")</f>
        <v>1071435513847078913</v>
      </c>
      <c r="F59" s="11" t="s">
        <v>65</v>
      </c>
      <c r="G59" s="11" t="s">
        <v>66</v>
      </c>
      <c r="H59" s="12"/>
      <c r="I59" s="13">
        <v>1</v>
      </c>
      <c r="J59" s="13">
        <v>3</v>
      </c>
      <c r="K59" s="14" t="str">
        <f t="shared" si="10"/>
        <v>Twitter for Android</v>
      </c>
      <c r="L59" s="13">
        <v>98</v>
      </c>
      <c r="M59" s="13">
        <v>132</v>
      </c>
      <c r="N59" s="13">
        <v>4</v>
      </c>
      <c r="O59" s="15"/>
      <c r="P59" s="6">
        <v>42894.563055555554</v>
      </c>
      <c r="Q59" s="12"/>
      <c r="R59" s="19"/>
      <c r="S59" s="12"/>
      <c r="T59" s="12"/>
      <c r="U59" s="10" t="str">
        <f>HYPERLINK("https://pbs.twimg.com/profile_images/873601057217290240/fpK-UPVb.jpg","View")</f>
        <v>View</v>
      </c>
    </row>
    <row r="60" spans="1:21" ht="30.6">
      <c r="A60" s="6">
        <v>43442.711886574078</v>
      </c>
      <c r="B60" s="7" t="str">
        <f>HYPERLINK("https://twitter.com/juliolibre","@juliolibre")</f>
        <v>@juliolibre</v>
      </c>
      <c r="C60" s="8" t="s">
        <v>370</v>
      </c>
      <c r="D60" s="9" t="s">
        <v>371</v>
      </c>
      <c r="E60" s="10" t="str">
        <f>HYPERLINK("https://twitter.com/juliolibre/status/1071435513016524800","1071435513016524800")</f>
        <v>1071435513016524800</v>
      </c>
      <c r="F60" s="11" t="s">
        <v>211</v>
      </c>
      <c r="G60" s="12"/>
      <c r="H60" s="12"/>
      <c r="I60" s="13">
        <v>0</v>
      </c>
      <c r="J60" s="13">
        <v>0</v>
      </c>
      <c r="K60" s="14" t="str">
        <f>HYPERLINK("http://twitter.com","Twitter Web Client")</f>
        <v>Twitter Web Client</v>
      </c>
      <c r="L60" s="13">
        <v>332</v>
      </c>
      <c r="M60" s="13">
        <v>596</v>
      </c>
      <c r="N60" s="13">
        <v>5</v>
      </c>
      <c r="O60" s="15"/>
      <c r="P60" s="6">
        <v>40433.685925925922</v>
      </c>
      <c r="Q60" s="16" t="s">
        <v>372</v>
      </c>
      <c r="R60" s="17" t="s">
        <v>373</v>
      </c>
      <c r="S60" s="11" t="s">
        <v>374</v>
      </c>
      <c r="T60" s="12"/>
      <c r="U60" s="10" t="str">
        <f>HYPERLINK("https://pbs.twimg.com/profile_images/1002648554626801664/K8nxPOsU.jpg","View")</f>
        <v>View</v>
      </c>
    </row>
    <row r="61" spans="1:21" ht="40.799999999999997">
      <c r="A61" s="6">
        <v>43442.711805555555</v>
      </c>
      <c r="B61" s="7" t="str">
        <f>HYPERLINK("https://twitter.com/abc_es","@abc_es")</f>
        <v>@abc_es</v>
      </c>
      <c r="C61" s="20" t="s">
        <v>375</v>
      </c>
      <c r="D61" s="9" t="s">
        <v>197</v>
      </c>
      <c r="E61" s="10" t="str">
        <f>HYPERLINK("https://twitter.com/abc_es/status/1071435486596599809","1071435486596599809")</f>
        <v>1071435486596599809</v>
      </c>
      <c r="F61" s="11" t="s">
        <v>376</v>
      </c>
      <c r="G61" s="12"/>
      <c r="H61" s="12"/>
      <c r="I61" s="13">
        <v>3</v>
      </c>
      <c r="J61" s="13">
        <v>8</v>
      </c>
      <c r="K61" s="14" t="str">
        <f>HYPERLINK("https://dogtrack.es","DogTrack ABC")</f>
        <v>DogTrack ABC</v>
      </c>
      <c r="L61" s="13">
        <v>1610206</v>
      </c>
      <c r="M61" s="13">
        <v>15511</v>
      </c>
      <c r="N61" s="13">
        <v>17149</v>
      </c>
      <c r="O61" s="18" t="s">
        <v>41</v>
      </c>
      <c r="P61" s="6">
        <v>39846.840682870374</v>
      </c>
      <c r="Q61" s="16" t="s">
        <v>60</v>
      </c>
      <c r="R61" s="17" t="s">
        <v>377</v>
      </c>
      <c r="S61" s="11" t="s">
        <v>241</v>
      </c>
      <c r="T61" s="12"/>
      <c r="U61" s="10" t="str">
        <f>HYPERLINK("https://pbs.twimg.com/profile_images/1053638435309842432/s75OnwdY.jpg","View")</f>
        <v>View</v>
      </c>
    </row>
    <row r="62" spans="1:21" ht="51">
      <c r="A62" s="6">
        <v>43442.711770833332</v>
      </c>
      <c r="B62" s="7" t="str">
        <f>HYPERLINK("https://twitter.com/LopezMirasF","@LopezMirasF")</f>
        <v>@LopezMirasF</v>
      </c>
      <c r="C62" s="8" t="s">
        <v>378</v>
      </c>
      <c r="D62" s="9" t="s">
        <v>379</v>
      </c>
      <c r="E62" s="10" t="str">
        <f>HYPERLINK("https://twitter.com/LopezMirasF/status/1071435472285696005","1071435472285696005")</f>
        <v>1071435472285696005</v>
      </c>
      <c r="F62" s="12"/>
      <c r="G62" s="11" t="s">
        <v>380</v>
      </c>
      <c r="H62" s="12"/>
      <c r="I62" s="13">
        <v>10</v>
      </c>
      <c r="J62" s="13">
        <v>9</v>
      </c>
      <c r="K62" s="14" t="str">
        <f>HYPERLINK("http://twitter.com/download/iphone","Twitter for iPhone")</f>
        <v>Twitter for iPhone</v>
      </c>
      <c r="L62" s="13">
        <v>9092</v>
      </c>
      <c r="M62" s="13">
        <v>1362</v>
      </c>
      <c r="N62" s="13">
        <v>88</v>
      </c>
      <c r="O62" s="18" t="s">
        <v>41</v>
      </c>
      <c r="P62" s="6">
        <v>40588.806238425925</v>
      </c>
      <c r="Q62" s="16" t="s">
        <v>381</v>
      </c>
      <c r="R62" s="17" t="s">
        <v>382</v>
      </c>
      <c r="S62" s="11" t="s">
        <v>383</v>
      </c>
      <c r="T62" s="12"/>
      <c r="U62" s="10" t="str">
        <f>HYPERLINK("https://pbs.twimg.com/profile_images/967330994465406976/_NtukjoD.jpg","View")</f>
        <v>View</v>
      </c>
    </row>
    <row r="63" spans="1:21" ht="20.399999999999999">
      <c r="A63" s="6">
        <v>43442.711516203708</v>
      </c>
      <c r="B63" s="7" t="str">
        <f>HYPERLINK("https://twitter.com/NEWSANTANDER","@NEWSANTANDER")</f>
        <v>@NEWSANTANDER</v>
      </c>
      <c r="C63" s="8" t="s">
        <v>384</v>
      </c>
      <c r="D63" s="9" t="s">
        <v>197</v>
      </c>
      <c r="E63" s="10" t="str">
        <f>HYPERLINK("https://twitter.com/NEWSANTANDER/status/1071435378702385152","1071435378702385152")</f>
        <v>1071435378702385152</v>
      </c>
      <c r="F63" s="11" t="s">
        <v>385</v>
      </c>
      <c r="G63" s="11" t="s">
        <v>386</v>
      </c>
      <c r="H63" s="12"/>
      <c r="I63" s="13">
        <v>0</v>
      </c>
      <c r="J63" s="13">
        <v>0</v>
      </c>
      <c r="K63" s="14" t="str">
        <f>HYPERLINK("http://publicize.wp.com/","WordPress.com")</f>
        <v>WordPress.com</v>
      </c>
      <c r="L63" s="13">
        <v>2719</v>
      </c>
      <c r="M63" s="13">
        <v>2678</v>
      </c>
      <c r="N63" s="13">
        <v>22</v>
      </c>
      <c r="O63" s="15"/>
      <c r="P63" s="6">
        <v>42254.827662037038</v>
      </c>
      <c r="Q63" s="12"/>
      <c r="R63" s="19"/>
      <c r="S63" s="12"/>
      <c r="T63" s="12"/>
      <c r="U63" s="10" t="str">
        <f>HYPERLINK("https://pbs.twimg.com/profile_images/640946719002361856/uwfBU4CB.jpg","View")</f>
        <v>View</v>
      </c>
    </row>
    <row r="64" spans="1:21" ht="20.399999999999999">
      <c r="A64" s="6">
        <v>43442.7112037037</v>
      </c>
      <c r="B64" s="7" t="str">
        <f t="shared" ref="B64:B65" si="11">HYPERLINK("https://twitter.com/JulioGanguita","@JulioGanguita")</f>
        <v>@JulioGanguita</v>
      </c>
      <c r="C64" s="8" t="s">
        <v>388</v>
      </c>
      <c r="D64" s="9" t="s">
        <v>197</v>
      </c>
      <c r="E64" s="10" t="str">
        <f>HYPERLINK("https://twitter.com/JulioGanguita/status/1071435264776699905","1071435264776699905")</f>
        <v>1071435264776699905</v>
      </c>
      <c r="F64" s="11" t="s">
        <v>389</v>
      </c>
      <c r="G64" s="12"/>
      <c r="H64" s="12"/>
      <c r="I64" s="13">
        <v>0</v>
      </c>
      <c r="J64" s="13">
        <v>0</v>
      </c>
      <c r="K64" s="14" t="str">
        <f t="shared" ref="K64:K65" si="12">HYPERLINK("https://ifttt.com","IFTTT")</f>
        <v>IFTTT</v>
      </c>
      <c r="L64" s="13">
        <v>957</v>
      </c>
      <c r="M64" s="13">
        <v>1603</v>
      </c>
      <c r="N64" s="13">
        <v>3</v>
      </c>
      <c r="O64" s="15"/>
      <c r="P64" s="6">
        <v>41982.543564814812</v>
      </c>
      <c r="Q64" s="16" t="s">
        <v>390</v>
      </c>
      <c r="R64" s="17" t="s">
        <v>391</v>
      </c>
      <c r="S64" s="12"/>
      <c r="T64" s="12"/>
      <c r="U64" s="10" t="str">
        <f t="shared" ref="U64:U65" si="13">HYPERLINK("https://pbs.twimg.com/profile_images/859057418386497536/1I406mDG.jpg","View")</f>
        <v>View</v>
      </c>
    </row>
    <row r="65" spans="1:21" ht="20.399999999999999">
      <c r="A65" s="6">
        <v>43442.709317129629</v>
      </c>
      <c r="B65" s="7" t="str">
        <f t="shared" si="11"/>
        <v>@JulioGanguita</v>
      </c>
      <c r="C65" s="8" t="s">
        <v>388</v>
      </c>
      <c r="D65" s="9" t="s">
        <v>197</v>
      </c>
      <c r="E65" s="10" t="str">
        <f>HYPERLINK("https://twitter.com/JulioGanguita/status/1071434584015994881","1071434584015994881")</f>
        <v>1071434584015994881</v>
      </c>
      <c r="F65" s="11" t="s">
        <v>389</v>
      </c>
      <c r="G65" s="11" t="s">
        <v>392</v>
      </c>
      <c r="H65" s="12"/>
      <c r="I65" s="13">
        <v>0</v>
      </c>
      <c r="J65" s="13">
        <v>0</v>
      </c>
      <c r="K65" s="14" t="str">
        <f t="shared" si="12"/>
        <v>IFTTT</v>
      </c>
      <c r="L65" s="13">
        <v>957</v>
      </c>
      <c r="M65" s="13">
        <v>1603</v>
      </c>
      <c r="N65" s="13">
        <v>3</v>
      </c>
      <c r="O65" s="15"/>
      <c r="P65" s="6">
        <v>41982.543564814812</v>
      </c>
      <c r="Q65" s="16" t="s">
        <v>390</v>
      </c>
      <c r="R65" s="17" t="s">
        <v>391</v>
      </c>
      <c r="S65" s="12"/>
      <c r="T65" s="12"/>
      <c r="U65" s="10" t="str">
        <f t="shared" si="13"/>
        <v>View</v>
      </c>
    </row>
    <row r="66" spans="1:21" ht="40.799999999999997">
      <c r="A66" s="6">
        <v>43442.709050925929</v>
      </c>
      <c r="B66" s="7" t="str">
        <f>HYPERLINK("https://twitter.com/Treintanyero","@Treintanyero")</f>
        <v>@Treintanyero</v>
      </c>
      <c r="C66" s="8" t="s">
        <v>393</v>
      </c>
      <c r="D66" s="9" t="s">
        <v>394</v>
      </c>
      <c r="E66" s="10" t="str">
        <f>HYPERLINK("https://twitter.com/Treintanyero/status/1071434486141865984","1071434486141865984")</f>
        <v>1071434486141865984</v>
      </c>
      <c r="F66" s="12"/>
      <c r="G66" s="12"/>
      <c r="H66" s="12"/>
      <c r="I66" s="13">
        <v>0</v>
      </c>
      <c r="J66" s="13">
        <v>0</v>
      </c>
      <c r="K66" s="14" t="str">
        <f>HYPERLINK("http://twitter.com/download/iphone","Twitter for iPhone")</f>
        <v>Twitter for iPhone</v>
      </c>
      <c r="L66" s="13">
        <v>556</v>
      </c>
      <c r="M66" s="13">
        <v>446</v>
      </c>
      <c r="N66" s="13">
        <v>7</v>
      </c>
      <c r="O66" s="15"/>
      <c r="P66" s="6">
        <v>40198.020486111112</v>
      </c>
      <c r="Q66" s="16" t="s">
        <v>396</v>
      </c>
      <c r="R66" s="17" t="s">
        <v>397</v>
      </c>
      <c r="S66" s="12"/>
      <c r="T66" s="12"/>
      <c r="U66" s="10" t="str">
        <f>HYPERLINK("https://pbs.twimg.com/profile_images/1001826362485854209/JFH-_X1Y.jpg","View")</f>
        <v>View</v>
      </c>
    </row>
    <row r="67" spans="1:21" ht="20.399999999999999">
      <c r="A67" s="6">
        <v>43442.708981481483</v>
      </c>
      <c r="B67" s="7" t="str">
        <f>HYPERLINK("https://twitter.com/EspanaActual","@EspanaActual")</f>
        <v>@EspanaActual</v>
      </c>
      <c r="C67" s="8" t="s">
        <v>399</v>
      </c>
      <c r="D67" s="9" t="s">
        <v>400</v>
      </c>
      <c r="E67" s="10" t="str">
        <f>HYPERLINK("https://twitter.com/EspanaActual/status/1071434460275621888","1071434460275621888")</f>
        <v>1071434460275621888</v>
      </c>
      <c r="F67" s="11" t="s">
        <v>401</v>
      </c>
      <c r="G67" s="12"/>
      <c r="H67" s="12"/>
      <c r="I67" s="13">
        <v>0</v>
      </c>
      <c r="J67" s="13">
        <v>0</v>
      </c>
      <c r="K67" s="14" t="str">
        <f>HYPERLINK("http://www.wonderland.fm/","wonderland.fm")</f>
        <v>wonderland.fm</v>
      </c>
      <c r="L67" s="13">
        <v>255</v>
      </c>
      <c r="M67" s="13">
        <v>0</v>
      </c>
      <c r="N67" s="13">
        <v>5</v>
      </c>
      <c r="O67" s="15"/>
      <c r="P67" s="6">
        <v>41357.845486111109</v>
      </c>
      <c r="Q67" s="16" t="s">
        <v>60</v>
      </c>
      <c r="R67" s="17" t="s">
        <v>402</v>
      </c>
      <c r="S67" s="12"/>
      <c r="T67" s="12"/>
      <c r="U67" s="10" t="str">
        <f>HYPERLINK("https://pbs.twimg.com/profile_images/745695516982378496/lAlJBkNT.jpg","View")</f>
        <v>View</v>
      </c>
    </row>
    <row r="68" spans="1:21" ht="20.399999999999999">
      <c r="A68" s="6">
        <v>43442.708634259259</v>
      </c>
      <c r="B68" s="7" t="str">
        <f>HYPERLINK("https://twitter.com/Fernando27mlg","@Fernando27mlg")</f>
        <v>@Fernando27mlg</v>
      </c>
      <c r="C68" s="8" t="s">
        <v>403</v>
      </c>
      <c r="D68" s="9" t="s">
        <v>197</v>
      </c>
      <c r="E68" s="10" t="str">
        <f>HYPERLINK("https://twitter.com/Fernando27mlg/status/1071434335281143808","1071434335281143808")</f>
        <v>1071434335281143808</v>
      </c>
      <c r="F68" s="11" t="s">
        <v>404</v>
      </c>
      <c r="G68" s="12"/>
      <c r="H68" s="12"/>
      <c r="I68" s="13">
        <v>0</v>
      </c>
      <c r="J68" s="13">
        <v>0</v>
      </c>
      <c r="K68" s="14" t="str">
        <f>HYPERLINK("http://www.facebook.com/twitter","Facebook")</f>
        <v>Facebook</v>
      </c>
      <c r="L68" s="13">
        <v>32</v>
      </c>
      <c r="M68" s="13">
        <v>129</v>
      </c>
      <c r="N68" s="13">
        <v>0</v>
      </c>
      <c r="O68" s="15"/>
      <c r="P68" s="6">
        <v>41332.498449074075</v>
      </c>
      <c r="Q68" s="12"/>
      <c r="R68" s="19"/>
      <c r="S68" s="12"/>
      <c r="T68" s="12"/>
      <c r="U68" s="10" t="str">
        <f>HYPERLINK("https://pbs.twimg.com/profile_images/422084371525300224/Mh-xKMoQ.jpeg","View")</f>
        <v>View</v>
      </c>
    </row>
    <row r="69" spans="1:21" ht="20.399999999999999">
      <c r="A69" s="6">
        <v>43442.708125000005</v>
      </c>
      <c r="B69" s="7" t="str">
        <f>HYPERLINK("https://twitter.com/NEWSANTANDER","@NEWSANTANDER")</f>
        <v>@NEWSANTANDER</v>
      </c>
      <c r="C69" s="8" t="s">
        <v>384</v>
      </c>
      <c r="D69" s="9" t="s">
        <v>197</v>
      </c>
      <c r="E69" s="10" t="str">
        <f>HYPERLINK("https://twitter.com/NEWSANTANDER/status/1071434151541264384","1071434151541264384")</f>
        <v>1071434151541264384</v>
      </c>
      <c r="F69" s="11" t="s">
        <v>406</v>
      </c>
      <c r="G69" s="11" t="s">
        <v>407</v>
      </c>
      <c r="H69" s="12"/>
      <c r="I69" s="13">
        <v>0</v>
      </c>
      <c r="J69" s="13">
        <v>0</v>
      </c>
      <c r="K69" s="14" t="str">
        <f>HYPERLINK("http://publicize.wp.com/","WordPress.com")</f>
        <v>WordPress.com</v>
      </c>
      <c r="L69" s="13">
        <v>2719</v>
      </c>
      <c r="M69" s="13">
        <v>2678</v>
      </c>
      <c r="N69" s="13">
        <v>22</v>
      </c>
      <c r="O69" s="15"/>
      <c r="P69" s="6">
        <v>42254.827662037038</v>
      </c>
      <c r="Q69" s="12"/>
      <c r="R69" s="19"/>
      <c r="S69" s="12"/>
      <c r="T69" s="12"/>
      <c r="U69" s="10" t="str">
        <f>HYPERLINK("https://pbs.twimg.com/profile_images/640946719002361856/uwfBU4CB.jpg","View")</f>
        <v>View</v>
      </c>
    </row>
    <row r="70" spans="1:21" ht="30.6">
      <c r="A70" s="6">
        <v>43442.707974537036</v>
      </c>
      <c r="B70" s="7" t="str">
        <f>HYPERLINK("https://twitter.com/pcampos2883","@pcampos2883")</f>
        <v>@pcampos2883</v>
      </c>
      <c r="C70" s="8" t="s">
        <v>408</v>
      </c>
      <c r="D70" s="9" t="s">
        <v>409</v>
      </c>
      <c r="E70" s="10" t="str">
        <f>HYPERLINK("https://twitter.com/pcampos2883/status/1071434095379402753","1071434095379402753")</f>
        <v>1071434095379402753</v>
      </c>
      <c r="F70" s="12"/>
      <c r="G70" s="12"/>
      <c r="H70" s="12"/>
      <c r="I70" s="13">
        <v>0</v>
      </c>
      <c r="J70" s="13">
        <v>0</v>
      </c>
      <c r="K70" s="14" t="str">
        <f t="shared" ref="K70:K71" si="14">HYPERLINK("http://twitter.com/download/android","Twitter for Android")</f>
        <v>Twitter for Android</v>
      </c>
      <c r="L70" s="13">
        <v>124</v>
      </c>
      <c r="M70" s="13">
        <v>284</v>
      </c>
      <c r="N70" s="13">
        <v>0</v>
      </c>
      <c r="O70" s="15"/>
      <c r="P70" s="6">
        <v>40855.059293981481</v>
      </c>
      <c r="Q70" s="12"/>
      <c r="R70" s="19"/>
      <c r="S70" s="12"/>
      <c r="T70" s="12"/>
      <c r="U70" s="10" t="str">
        <f>HYPERLINK("https://pbs.twimg.com/profile_images/635838501804707841/38gXsS_I.jpg","View")</f>
        <v>View</v>
      </c>
    </row>
    <row r="71" spans="1:21" ht="51">
      <c r="A71" s="6">
        <v>43442.706956018519</v>
      </c>
      <c r="B71" s="7" t="str">
        <f>HYPERLINK("https://twitter.com/GACOVIEDO","@GACOVIEDO")</f>
        <v>@GACOVIEDO</v>
      </c>
      <c r="C71" s="8" t="s">
        <v>410</v>
      </c>
      <c r="D71" s="9" t="s">
        <v>411</v>
      </c>
      <c r="E71" s="10" t="str">
        <f>HYPERLINK("https://twitter.com/GACOVIEDO/status/1071433728805797890","1071433728805797890")</f>
        <v>1071433728805797890</v>
      </c>
      <c r="F71" s="12"/>
      <c r="G71" s="11" t="s">
        <v>412</v>
      </c>
      <c r="H71" s="12"/>
      <c r="I71" s="13">
        <v>0</v>
      </c>
      <c r="J71" s="13">
        <v>3</v>
      </c>
      <c r="K71" s="14" t="str">
        <f t="shared" si="14"/>
        <v>Twitter for Android</v>
      </c>
      <c r="L71" s="13">
        <v>2018</v>
      </c>
      <c r="M71" s="13">
        <v>1704</v>
      </c>
      <c r="N71" s="13">
        <v>7</v>
      </c>
      <c r="O71" s="15"/>
      <c r="P71" s="6">
        <v>41285.80846064815</v>
      </c>
      <c r="Q71" s="12"/>
      <c r="R71" s="17" t="s">
        <v>413</v>
      </c>
      <c r="S71" s="12"/>
      <c r="T71" s="12"/>
      <c r="U71" s="10" t="str">
        <f>HYPERLINK("https://pbs.twimg.com/profile_images/1050837953742864385/_v0lfUdc.jpg","View")</f>
        <v>View</v>
      </c>
    </row>
    <row r="72" spans="1:21" ht="40.799999999999997">
      <c r="A72" s="6">
        <v>43442.706805555557</v>
      </c>
      <c r="B72" s="7" t="str">
        <f>HYPERLINK("https://twitter.com/BuzoneoVox","@BuzoneoVox")</f>
        <v>@BuzoneoVox</v>
      </c>
      <c r="C72" s="8" t="s">
        <v>414</v>
      </c>
      <c r="D72" s="9" t="s">
        <v>415</v>
      </c>
      <c r="E72" s="10" t="str">
        <f>HYPERLINK("https://twitter.com/BuzoneoVox/status/1071433672828616706","1071433672828616706")</f>
        <v>1071433672828616706</v>
      </c>
      <c r="F72" s="16" t="s">
        <v>416</v>
      </c>
      <c r="G72" s="12"/>
      <c r="H72" s="12"/>
      <c r="I72" s="13">
        <v>0</v>
      </c>
      <c r="J72" s="13">
        <v>0</v>
      </c>
      <c r="K72" s="14" t="str">
        <f>HYPERLINK("http://twitter.com/download/iphone","Twitter for iPhone")</f>
        <v>Twitter for iPhone</v>
      </c>
      <c r="L72" s="13">
        <v>385</v>
      </c>
      <c r="M72" s="13">
        <v>644</v>
      </c>
      <c r="N72" s="13">
        <v>1</v>
      </c>
      <c r="O72" s="15"/>
      <c r="P72" s="6">
        <v>43260.618113425924</v>
      </c>
      <c r="Q72" s="16" t="s">
        <v>60</v>
      </c>
      <c r="R72" s="17" t="s">
        <v>417</v>
      </c>
      <c r="S72" s="12"/>
      <c r="T72" s="12"/>
      <c r="U72" s="10" t="str">
        <f>HYPERLINK("https://pbs.twimg.com/profile_images/1005460745071493122/2qz5mJBK.jpg","View")</f>
        <v>View</v>
      </c>
    </row>
    <row r="73" spans="1:21" ht="20.399999999999999">
      <c r="A73" s="6">
        <v>43442.706296296295</v>
      </c>
      <c r="B73" s="7" t="str">
        <f>HYPERLINK("https://twitter.com/ECEspana","@ECEspana")</f>
        <v>@ECEspana</v>
      </c>
      <c r="C73" s="8" t="s">
        <v>418</v>
      </c>
      <c r="D73" s="9" t="s">
        <v>419</v>
      </c>
      <c r="E73" s="10" t="str">
        <f>HYPERLINK("https://twitter.com/ECEspana/status/1071433489021452288","1071433489021452288")</f>
        <v>1071433489021452288</v>
      </c>
      <c r="F73" s="11" t="s">
        <v>420</v>
      </c>
      <c r="G73" s="12"/>
      <c r="H73" s="12"/>
      <c r="I73" s="13">
        <v>0</v>
      </c>
      <c r="J73" s="13">
        <v>0</v>
      </c>
      <c r="K73" s="14" t="str">
        <f>HYPERLINK("https://dlvrit.com/","dlvr.it")</f>
        <v>dlvr.it</v>
      </c>
      <c r="L73" s="13">
        <v>1894</v>
      </c>
      <c r="M73" s="13">
        <v>91</v>
      </c>
      <c r="N73" s="13">
        <v>83</v>
      </c>
      <c r="O73" s="15"/>
      <c r="P73" s="6">
        <v>42291.784953703704</v>
      </c>
      <c r="Q73" s="16" t="s">
        <v>26</v>
      </c>
      <c r="R73" s="17" t="s">
        <v>421</v>
      </c>
      <c r="S73" s="11" t="s">
        <v>422</v>
      </c>
      <c r="T73" s="12"/>
      <c r="U73" s="10" t="str">
        <f>HYPERLINK("https://pbs.twimg.com/profile_images/831789838693183488/XYTdUPcP.jpg","View")</f>
        <v>View</v>
      </c>
    </row>
    <row r="74" spans="1:21" ht="20.399999999999999">
      <c r="A74" s="6">
        <v>43442.70376157407</v>
      </c>
      <c r="B74" s="7" t="str">
        <f>HYPERLINK("https://twitter.com/Peter_Snchz","@Peter_Snchz")</f>
        <v>@Peter_Snchz</v>
      </c>
      <c r="C74" s="8" t="s">
        <v>423</v>
      </c>
      <c r="D74" s="9" t="s">
        <v>197</v>
      </c>
      <c r="E74" s="10" t="str">
        <f>HYPERLINK("https://twitter.com/Peter_Snchz/status/1071432569063903232","1071432569063903232")</f>
        <v>1071432569063903232</v>
      </c>
      <c r="F74" s="11" t="s">
        <v>389</v>
      </c>
      <c r="G74" s="12"/>
      <c r="H74" s="12"/>
      <c r="I74" s="13">
        <v>0</v>
      </c>
      <c r="J74" s="13">
        <v>0</v>
      </c>
      <c r="K74" s="14" t="str">
        <f t="shared" ref="K74:K75" si="15">HYPERLINK("https://ifttt.com","IFTTT")</f>
        <v>IFTTT</v>
      </c>
      <c r="L74" s="13">
        <v>2077</v>
      </c>
      <c r="M74" s="13">
        <v>4323</v>
      </c>
      <c r="N74" s="13">
        <v>6</v>
      </c>
      <c r="O74" s="15"/>
      <c r="P74" s="6">
        <v>42856.702685185184</v>
      </c>
      <c r="Q74" s="16" t="s">
        <v>425</v>
      </c>
      <c r="R74" s="17" t="s">
        <v>426</v>
      </c>
      <c r="S74" s="12"/>
      <c r="T74" s="12"/>
      <c r="U74" s="10" t="str">
        <f>HYPERLINK("https://pbs.twimg.com/profile_images/859060783803772930/rnM_5g6d.jpg","View")</f>
        <v>View</v>
      </c>
    </row>
    <row r="75" spans="1:21" ht="30.6">
      <c r="A75" s="6">
        <v>43442.700381944444</v>
      </c>
      <c r="B75" s="7" t="str">
        <f>HYPERLINK("https://twitter.com/aquilavida","@aquilavida")</f>
        <v>@aquilavida</v>
      </c>
      <c r="C75" s="8" t="s">
        <v>428</v>
      </c>
      <c r="D75" s="9" t="s">
        <v>429</v>
      </c>
      <c r="E75" s="10" t="str">
        <f>HYPERLINK("https://twitter.com/aquilavida/status/1071431346218766344","1071431346218766344")</f>
        <v>1071431346218766344</v>
      </c>
      <c r="F75" s="11" t="s">
        <v>430</v>
      </c>
      <c r="G75" s="12"/>
      <c r="H75" s="12"/>
      <c r="I75" s="13">
        <v>0</v>
      </c>
      <c r="J75" s="13">
        <v>0</v>
      </c>
      <c r="K75" s="14" t="str">
        <f t="shared" si="15"/>
        <v>IFTTT</v>
      </c>
      <c r="L75" s="13">
        <v>235</v>
      </c>
      <c r="M75" s="13">
        <v>233</v>
      </c>
      <c r="N75" s="13">
        <v>55</v>
      </c>
      <c r="O75" s="15"/>
      <c r="P75" s="6">
        <v>40665.698576388888</v>
      </c>
      <c r="Q75" s="16" t="s">
        <v>200</v>
      </c>
      <c r="R75" s="17" t="s">
        <v>433</v>
      </c>
      <c r="S75" s="12"/>
      <c r="T75" s="12"/>
      <c r="U75" s="10" t="str">
        <f>HYPERLINK("https://pbs.twimg.com/profile_images/1658515048/image.jpg","View")</f>
        <v>View</v>
      </c>
    </row>
    <row r="76" spans="1:21" ht="20.399999999999999">
      <c r="A76" s="6">
        <v>43442.698460648149</v>
      </c>
      <c r="B76" s="7" t="str">
        <f>HYPERLINK("https://twitter.com/aridane83","@aridane83")</f>
        <v>@aridane83</v>
      </c>
      <c r="C76" s="8" t="s">
        <v>91</v>
      </c>
      <c r="D76" s="9" t="s">
        <v>434</v>
      </c>
      <c r="E76" s="10" t="str">
        <f>HYPERLINK("https://twitter.com/aridane83/status/1071430649951764481","1071430649951764481")</f>
        <v>1071430649951764481</v>
      </c>
      <c r="F76" s="12"/>
      <c r="G76" s="11" t="s">
        <v>435</v>
      </c>
      <c r="H76" s="12"/>
      <c r="I76" s="13">
        <v>0</v>
      </c>
      <c r="J76" s="13">
        <v>0</v>
      </c>
      <c r="K76" s="14" t="str">
        <f>HYPERLINK("http://twitter.com/download/android","Twitter for Android")</f>
        <v>Twitter for Android</v>
      </c>
      <c r="L76" s="13">
        <v>680</v>
      </c>
      <c r="M76" s="13">
        <v>644</v>
      </c>
      <c r="N76" s="13">
        <v>3</v>
      </c>
      <c r="O76" s="15"/>
      <c r="P76" s="6">
        <v>41199.848263888889</v>
      </c>
      <c r="Q76" s="12"/>
      <c r="R76" s="17" t="s">
        <v>95</v>
      </c>
      <c r="S76" s="12"/>
      <c r="T76" s="12"/>
      <c r="U76" s="10" t="str">
        <f>HYPERLINK("https://pbs.twimg.com/profile_images/835953531672743936/R43pXDvq.jpg","View")</f>
        <v>View</v>
      </c>
    </row>
    <row r="77" spans="1:21" ht="20.399999999999999">
      <c r="A77" s="6">
        <v>43442.698379629626</v>
      </c>
      <c r="B77" s="7" t="str">
        <f>HYPERLINK("https://twitter.com/JulioGanguita","@JulioGanguita")</f>
        <v>@JulioGanguita</v>
      </c>
      <c r="C77" s="8" t="s">
        <v>388</v>
      </c>
      <c r="D77" s="9" t="s">
        <v>419</v>
      </c>
      <c r="E77" s="10" t="str">
        <f>HYPERLINK("https://twitter.com/JulioGanguita/status/1071430620356755463","1071430620356755463")</f>
        <v>1071430620356755463</v>
      </c>
      <c r="F77" s="11" t="s">
        <v>436</v>
      </c>
      <c r="G77" s="12"/>
      <c r="H77" s="12"/>
      <c r="I77" s="13">
        <v>0</v>
      </c>
      <c r="J77" s="13">
        <v>0</v>
      </c>
      <c r="K77" s="14" t="str">
        <f>HYPERLINK("https://ifttt.com","IFTTT")</f>
        <v>IFTTT</v>
      </c>
      <c r="L77" s="13">
        <v>957</v>
      </c>
      <c r="M77" s="13">
        <v>1603</v>
      </c>
      <c r="N77" s="13">
        <v>3</v>
      </c>
      <c r="O77" s="15"/>
      <c r="P77" s="6">
        <v>41982.543564814812</v>
      </c>
      <c r="Q77" s="16" t="s">
        <v>390</v>
      </c>
      <c r="R77" s="17" t="s">
        <v>391</v>
      </c>
      <c r="S77" s="12"/>
      <c r="T77" s="12"/>
      <c r="U77" s="10" t="str">
        <f>HYPERLINK("https://pbs.twimg.com/profile_images/859057418386497536/1I406mDG.jpg","View")</f>
        <v>View</v>
      </c>
    </row>
    <row r="78" spans="1:21" ht="40.799999999999997">
      <c r="A78" s="6">
        <v>43442.697997685187</v>
      </c>
      <c r="B78" s="7" t="str">
        <f>HYPERLINK("https://twitter.com/RogerdClari","@RogerdClari")</f>
        <v>@RogerdClari</v>
      </c>
      <c r="C78" s="8" t="s">
        <v>437</v>
      </c>
      <c r="D78" s="9" t="s">
        <v>438</v>
      </c>
      <c r="E78" s="10" t="str">
        <f>HYPERLINK("https://twitter.com/RogerdClari/status/1071430481667940352","1071430481667940352")</f>
        <v>1071430481667940352</v>
      </c>
      <c r="F78" s="11" t="s">
        <v>439</v>
      </c>
      <c r="G78" s="11" t="s">
        <v>440</v>
      </c>
      <c r="H78" s="12"/>
      <c r="I78" s="13">
        <v>0</v>
      </c>
      <c r="J78" s="13">
        <v>0</v>
      </c>
      <c r="K78" s="14" t="str">
        <f>HYPERLINK("http://twitter.com/download/android","Twitter for Android")</f>
        <v>Twitter for Android</v>
      </c>
      <c r="L78" s="13">
        <v>2492</v>
      </c>
      <c r="M78" s="13">
        <v>2277</v>
      </c>
      <c r="N78" s="13">
        <v>22</v>
      </c>
      <c r="O78" s="15"/>
      <c r="P78" s="6">
        <v>42115.826782407406</v>
      </c>
      <c r="Q78" s="16" t="s">
        <v>441</v>
      </c>
      <c r="R78" s="17" t="s">
        <v>442</v>
      </c>
      <c r="S78" s="12"/>
      <c r="T78" s="12"/>
      <c r="U78" s="10" t="str">
        <f>HYPERLINK("https://pbs.twimg.com/profile_images/613031209405403136/BCSuUFP-.jpg","View")</f>
        <v>View</v>
      </c>
    </row>
    <row r="79" spans="1:21" ht="40.799999999999997">
      <c r="A79" s="6">
        <v>43442.697858796295</v>
      </c>
      <c r="B79" s="7" t="str">
        <f>HYPERLINK("https://twitter.com/Cs_CLM","@Cs_CLM")</f>
        <v>@Cs_CLM</v>
      </c>
      <c r="C79" s="8" t="s">
        <v>443</v>
      </c>
      <c r="D79" s="9" t="s">
        <v>444</v>
      </c>
      <c r="E79" s="10" t="str">
        <f>HYPERLINK("https://twitter.com/Cs_CLM/status/1071430430728052736","1071430430728052736")</f>
        <v>1071430430728052736</v>
      </c>
      <c r="F79" s="12"/>
      <c r="G79" s="11" t="s">
        <v>445</v>
      </c>
      <c r="H79" s="12"/>
      <c r="I79" s="13">
        <v>4</v>
      </c>
      <c r="J79" s="13">
        <v>3</v>
      </c>
      <c r="K79" s="14" t="str">
        <f t="shared" ref="K79:K81" si="16">HYPERLINK("http://twitter.com/download/iphone","Twitter for iPhone")</f>
        <v>Twitter for iPhone</v>
      </c>
      <c r="L79" s="13">
        <v>4249</v>
      </c>
      <c r="M79" s="13">
        <v>630</v>
      </c>
      <c r="N79" s="13">
        <v>72</v>
      </c>
      <c r="O79" s="15"/>
      <c r="P79" s="6">
        <v>42106.981793981482</v>
      </c>
      <c r="Q79" s="16" t="s">
        <v>446</v>
      </c>
      <c r="R79" s="17" t="s">
        <v>447</v>
      </c>
      <c r="S79" s="11" t="s">
        <v>448</v>
      </c>
      <c r="T79" s="12"/>
      <c r="U79" s="10" t="str">
        <f>HYPERLINK("https://pbs.twimg.com/profile_images/1053405513923416064/Z9jG76VP.jpg","View")</f>
        <v>View</v>
      </c>
    </row>
    <row r="80" spans="1:21" ht="51">
      <c r="A80" s="6">
        <v>43442.697743055556</v>
      </c>
      <c r="B80" s="7" t="str">
        <f>HYPERLINK("https://twitter.com/luisfdopferra","@luisfdopferra")</f>
        <v>@luisfdopferra</v>
      </c>
      <c r="C80" s="8" t="s">
        <v>449</v>
      </c>
      <c r="D80" s="9" t="s">
        <v>450</v>
      </c>
      <c r="E80" s="10" t="str">
        <f>HYPERLINK("https://twitter.com/luisfdopferra/status/1071430388273373184","1071430388273373184")</f>
        <v>1071430388273373184</v>
      </c>
      <c r="F80" s="11" t="s">
        <v>451</v>
      </c>
      <c r="G80" s="12"/>
      <c r="H80" s="12"/>
      <c r="I80" s="13">
        <v>0</v>
      </c>
      <c r="J80" s="13">
        <v>1</v>
      </c>
      <c r="K80" s="14" t="str">
        <f t="shared" si="16"/>
        <v>Twitter for iPhone</v>
      </c>
      <c r="L80" s="13">
        <v>348</v>
      </c>
      <c r="M80" s="13">
        <v>369</v>
      </c>
      <c r="N80" s="13">
        <v>2</v>
      </c>
      <c r="O80" s="15"/>
      <c r="P80" s="6">
        <v>42474.967152777783</v>
      </c>
      <c r="Q80" s="16" t="s">
        <v>230</v>
      </c>
      <c r="R80" s="17" t="s">
        <v>452</v>
      </c>
      <c r="S80" s="12"/>
      <c r="T80" s="12"/>
      <c r="U80" s="10" t="str">
        <f>HYPERLINK("https://pbs.twimg.com/profile_images/1064211421444087809/CYh32r1B.jpg","View")</f>
        <v>View</v>
      </c>
    </row>
    <row r="81" spans="1:21" ht="61.2">
      <c r="A81" s="6">
        <v>43442.694791666669</v>
      </c>
      <c r="B81" s="7" t="str">
        <f>HYPERLINK("https://twitter.com/ParamioConde","@ParamioConde")</f>
        <v>@ParamioConde</v>
      </c>
      <c r="C81" s="8" t="s">
        <v>453</v>
      </c>
      <c r="D81" s="9" t="s">
        <v>454</v>
      </c>
      <c r="E81" s="10" t="str">
        <f>HYPERLINK("https://twitter.com/ParamioConde/status/1071429319183032321","1071429319183032321")</f>
        <v>1071429319183032321</v>
      </c>
      <c r="F81" s="16" t="s">
        <v>455</v>
      </c>
      <c r="G81" s="12"/>
      <c r="H81" s="12"/>
      <c r="I81" s="13">
        <v>2</v>
      </c>
      <c r="J81" s="13">
        <v>3</v>
      </c>
      <c r="K81" s="14" t="str">
        <f t="shared" si="16"/>
        <v>Twitter for iPhone</v>
      </c>
      <c r="L81" s="13">
        <v>6603</v>
      </c>
      <c r="M81" s="13">
        <v>2995</v>
      </c>
      <c r="N81" s="13">
        <v>271</v>
      </c>
      <c r="O81" s="15"/>
      <c r="P81" s="6">
        <v>40336.515219907407</v>
      </c>
      <c r="Q81" s="16" t="s">
        <v>456</v>
      </c>
      <c r="R81" s="17" t="s">
        <v>457</v>
      </c>
      <c r="S81" s="12"/>
      <c r="T81" s="12"/>
      <c r="U81" s="10" t="str">
        <f>HYPERLINK("https://pbs.twimg.com/profile_images/947944900921905160/bBqTkTD0.jpg","View")</f>
        <v>View</v>
      </c>
    </row>
    <row r="82" spans="1:21" ht="51">
      <c r="A82" s="6">
        <v>43442.693935185191</v>
      </c>
      <c r="B82" s="7" t="str">
        <f>HYPERLINK("https://twitter.com/juanbracuhi","@juanbracuhi")</f>
        <v>@juanbracuhi</v>
      </c>
      <c r="C82" s="8" t="s">
        <v>327</v>
      </c>
      <c r="D82" s="9" t="s">
        <v>458</v>
      </c>
      <c r="E82" s="10" t="str">
        <f>HYPERLINK("https://twitter.com/juanbracuhi/status/1071429008162783233","1071429008162783233")</f>
        <v>1071429008162783233</v>
      </c>
      <c r="F82" s="16" t="s">
        <v>459</v>
      </c>
      <c r="G82" s="12"/>
      <c r="H82" s="12"/>
      <c r="I82" s="13">
        <v>0</v>
      </c>
      <c r="J82" s="13">
        <v>0</v>
      </c>
      <c r="K82" s="14" t="str">
        <f>HYPERLINK("http://twitter.com/download/android","Twitter for Android")</f>
        <v>Twitter for Android</v>
      </c>
      <c r="L82" s="13">
        <v>98</v>
      </c>
      <c r="M82" s="13">
        <v>132</v>
      </c>
      <c r="N82" s="13">
        <v>4</v>
      </c>
      <c r="O82" s="15"/>
      <c r="P82" s="6">
        <v>42894.563055555554</v>
      </c>
      <c r="Q82" s="12"/>
      <c r="R82" s="19"/>
      <c r="S82" s="12"/>
      <c r="T82" s="12"/>
      <c r="U82" s="10" t="str">
        <f>HYPERLINK("https://pbs.twimg.com/profile_images/873601057217290240/fpK-UPVb.jpg","View")</f>
        <v>View</v>
      </c>
    </row>
    <row r="83" spans="1:21" ht="30.6">
      <c r="A83" s="6">
        <v>43442.693819444445</v>
      </c>
      <c r="B83" s="7" t="str">
        <f>HYPERLINK("https://twitter.com/MarchalSabater","@MarchalSabater")</f>
        <v>@MarchalSabater</v>
      </c>
      <c r="C83" s="8" t="s">
        <v>460</v>
      </c>
      <c r="D83" s="9" t="s">
        <v>461</v>
      </c>
      <c r="E83" s="10" t="str">
        <f>HYPERLINK("https://twitter.com/MarchalSabater/status/1071428965104013312","1071428965104013312")</f>
        <v>1071428965104013312</v>
      </c>
      <c r="F83" s="11" t="s">
        <v>462</v>
      </c>
      <c r="G83" s="12"/>
      <c r="H83" s="12"/>
      <c r="I83" s="13">
        <v>0</v>
      </c>
      <c r="J83" s="13">
        <v>0</v>
      </c>
      <c r="K83" s="14" t="str">
        <f>HYPERLINK("http://www.facebook.com/twitter","Facebook")</f>
        <v>Facebook</v>
      </c>
      <c r="L83" s="13">
        <v>1734</v>
      </c>
      <c r="M83" s="13">
        <v>2346</v>
      </c>
      <c r="N83" s="13">
        <v>15</v>
      </c>
      <c r="O83" s="15"/>
      <c r="P83" s="6">
        <v>40489.531111111108</v>
      </c>
      <c r="Q83" s="12"/>
      <c r="R83" s="17" t="s">
        <v>463</v>
      </c>
      <c r="S83" s="11" t="s">
        <v>464</v>
      </c>
      <c r="T83" s="12"/>
      <c r="U83" s="10" t="str">
        <f>HYPERLINK("https://pbs.twimg.com/profile_images/1065628396888174592/fq-hEc6u.jpg","View")</f>
        <v>View</v>
      </c>
    </row>
    <row r="84" spans="1:21" ht="30.6">
      <c r="A84" s="6">
        <v>43442.693252314813</v>
      </c>
      <c r="B84" s="7" t="str">
        <f>HYPERLINK("https://twitter.com/mcyava","@mcyava")</f>
        <v>@mcyava</v>
      </c>
      <c r="C84" s="8" t="s">
        <v>465</v>
      </c>
      <c r="D84" s="9" t="s">
        <v>466</v>
      </c>
      <c r="E84" s="10" t="str">
        <f>HYPERLINK("https://twitter.com/mcyava/status/1071428759381778436","1071428759381778436")</f>
        <v>1071428759381778436</v>
      </c>
      <c r="F84" s="11" t="s">
        <v>467</v>
      </c>
      <c r="G84" s="12"/>
      <c r="H84" s="12"/>
      <c r="I84" s="13">
        <v>7</v>
      </c>
      <c r="J84" s="13">
        <v>10</v>
      </c>
      <c r="K84" s="14" t="str">
        <f t="shared" ref="K84:K89" si="17">HYPERLINK("http://twitter.com/download/android","Twitter for Android")</f>
        <v>Twitter for Android</v>
      </c>
      <c r="L84" s="13">
        <v>16630</v>
      </c>
      <c r="M84" s="13">
        <v>12849</v>
      </c>
      <c r="N84" s="13">
        <v>90</v>
      </c>
      <c r="O84" s="15"/>
      <c r="P84" s="6">
        <v>40819.440150462964</v>
      </c>
      <c r="Q84" s="16" t="s">
        <v>60</v>
      </c>
      <c r="R84" s="17" t="s">
        <v>468</v>
      </c>
      <c r="S84" s="12"/>
      <c r="T84" s="12"/>
      <c r="U84" s="10" t="str">
        <f>HYPERLINK("https://pbs.twimg.com/profile_images/957202578210738176/msS95mss.jpg","View")</f>
        <v>View</v>
      </c>
    </row>
    <row r="85" spans="1:21" ht="20.399999999999999">
      <c r="A85" s="6">
        <v>43442.692384259259</v>
      </c>
      <c r="B85" s="7" t="str">
        <f>HYPERLINK("https://twitter.com/CarrascoMarimar","@CarrascoMarimar")</f>
        <v>@CarrascoMarimar</v>
      </c>
      <c r="C85" s="8" t="s">
        <v>469</v>
      </c>
      <c r="D85" s="9" t="s">
        <v>470</v>
      </c>
      <c r="E85" s="10" t="str">
        <f>HYPERLINK("https://twitter.com/CarrascoMarimar/status/1071428446079934464","1071428446079934464")</f>
        <v>1071428446079934464</v>
      </c>
      <c r="F85" s="12"/>
      <c r="G85" s="12"/>
      <c r="H85" s="12"/>
      <c r="I85" s="13">
        <v>11</v>
      </c>
      <c r="J85" s="13">
        <v>12</v>
      </c>
      <c r="K85" s="14" t="str">
        <f t="shared" si="17"/>
        <v>Twitter for Android</v>
      </c>
      <c r="L85" s="13">
        <v>1841</v>
      </c>
      <c r="M85" s="13">
        <v>1572</v>
      </c>
      <c r="N85" s="13">
        <v>2</v>
      </c>
      <c r="O85" s="15"/>
      <c r="P85" s="6">
        <v>41851.537442129629</v>
      </c>
      <c r="Q85" s="12"/>
      <c r="R85" s="17" t="s">
        <v>471</v>
      </c>
      <c r="S85" s="12"/>
      <c r="T85" s="12"/>
      <c r="U85" s="10" t="str">
        <f>HYPERLINK("https://pbs.twimg.com/profile_images/1043639838963064832/mbJVA45m.jpg","View")</f>
        <v>View</v>
      </c>
    </row>
    <row r="86" spans="1:21" ht="51">
      <c r="A86" s="6">
        <v>43442.691967592589</v>
      </c>
      <c r="B86" s="7" t="str">
        <f>HYPERLINK("https://twitter.com/senabrja","@senabrja")</f>
        <v>@senabrja</v>
      </c>
      <c r="C86" s="8" t="s">
        <v>472</v>
      </c>
      <c r="D86" s="9" t="s">
        <v>473</v>
      </c>
      <c r="E86" s="10" t="str">
        <f>HYPERLINK("https://twitter.com/senabrja/status/1071428294640312321","1071428294640312321")</f>
        <v>1071428294640312321</v>
      </c>
      <c r="F86" s="11" t="s">
        <v>474</v>
      </c>
      <c r="G86" s="11" t="s">
        <v>475</v>
      </c>
      <c r="H86" s="12"/>
      <c r="I86" s="13">
        <v>1</v>
      </c>
      <c r="J86" s="13">
        <v>0</v>
      </c>
      <c r="K86" s="14" t="str">
        <f t="shared" si="17"/>
        <v>Twitter for Android</v>
      </c>
      <c r="L86" s="13">
        <v>764</v>
      </c>
      <c r="M86" s="13">
        <v>591</v>
      </c>
      <c r="N86" s="13">
        <v>13</v>
      </c>
      <c r="O86" s="15"/>
      <c r="P86" s="6">
        <v>42660.982997685191</v>
      </c>
      <c r="Q86" s="16" t="s">
        <v>476</v>
      </c>
      <c r="R86" s="17" t="s">
        <v>477</v>
      </c>
      <c r="S86" s="12"/>
      <c r="T86" s="12"/>
      <c r="U86" s="10" t="str">
        <f>HYPERLINK("https://pbs.twimg.com/profile_images/1067019992703602689/hF6sEZcs.jpg","View")</f>
        <v>View</v>
      </c>
    </row>
    <row r="87" spans="1:21" ht="61.2">
      <c r="A87" s="6">
        <v>43442.691562499997</v>
      </c>
      <c r="B87" s="7" t="str">
        <f>HYPERLINK("https://twitter.com/RogerdClari","@RogerdClari")</f>
        <v>@RogerdClari</v>
      </c>
      <c r="C87" s="8" t="s">
        <v>437</v>
      </c>
      <c r="D87" s="9" t="s">
        <v>478</v>
      </c>
      <c r="E87" s="10" t="str">
        <f>HYPERLINK("https://twitter.com/RogerdClari/status/1071428148288466945","1071428148288466945")</f>
        <v>1071428148288466945</v>
      </c>
      <c r="F87" s="16" t="s">
        <v>61</v>
      </c>
      <c r="G87" s="12"/>
      <c r="H87" s="12"/>
      <c r="I87" s="13">
        <v>0</v>
      </c>
      <c r="J87" s="13">
        <v>0</v>
      </c>
      <c r="K87" s="14" t="str">
        <f t="shared" si="17"/>
        <v>Twitter for Android</v>
      </c>
      <c r="L87" s="13">
        <v>2492</v>
      </c>
      <c r="M87" s="13">
        <v>2277</v>
      </c>
      <c r="N87" s="13">
        <v>22</v>
      </c>
      <c r="O87" s="15"/>
      <c r="P87" s="6">
        <v>42115.826782407406</v>
      </c>
      <c r="Q87" s="16" t="s">
        <v>441</v>
      </c>
      <c r="R87" s="17" t="s">
        <v>442</v>
      </c>
      <c r="S87" s="12"/>
      <c r="T87" s="12"/>
      <c r="U87" s="10" t="str">
        <f>HYPERLINK("https://pbs.twimg.com/profile_images/613031209405403136/BCSuUFP-.jpg","View")</f>
        <v>View</v>
      </c>
    </row>
    <row r="88" spans="1:21" ht="30.6">
      <c r="A88" s="6">
        <v>43442.690567129626</v>
      </c>
      <c r="B88" s="7" t="str">
        <f>HYPERLINK("https://twitter.com/El_Perchelero","@El_Perchelero")</f>
        <v>@El_Perchelero</v>
      </c>
      <c r="C88" s="8" t="s">
        <v>483</v>
      </c>
      <c r="D88" s="9" t="s">
        <v>484</v>
      </c>
      <c r="E88" s="10" t="str">
        <f>HYPERLINK("https://twitter.com/El_Perchelero/status/1071427788408799242","1071427788408799242")</f>
        <v>1071427788408799242</v>
      </c>
      <c r="F88" s="12"/>
      <c r="G88" s="12"/>
      <c r="H88" s="12"/>
      <c r="I88" s="13">
        <v>0</v>
      </c>
      <c r="J88" s="13">
        <v>0</v>
      </c>
      <c r="K88" s="14" t="str">
        <f t="shared" si="17"/>
        <v>Twitter for Android</v>
      </c>
      <c r="L88" s="13">
        <v>142</v>
      </c>
      <c r="M88" s="13">
        <v>513</v>
      </c>
      <c r="N88" s="13">
        <v>5</v>
      </c>
      <c r="O88" s="15"/>
      <c r="P88" s="6">
        <v>42662.697141203702</v>
      </c>
      <c r="Q88" s="12"/>
      <c r="R88" s="17" t="s">
        <v>485</v>
      </c>
      <c r="S88" s="12"/>
      <c r="T88" s="12"/>
      <c r="U88" s="10" t="str">
        <f>HYPERLINK("https://pbs.twimg.com/profile_images/788754962713116672/NWgKDpSO.jpg","View")</f>
        <v>View</v>
      </c>
    </row>
    <row r="89" spans="1:21" ht="51">
      <c r="A89" s="6">
        <v>43442.690289351856</v>
      </c>
      <c r="B89" s="7" t="str">
        <f>HYPERLINK("https://twitter.com/dangarcar","@dangarcar")</f>
        <v>@dangarcar</v>
      </c>
      <c r="C89" s="8" t="s">
        <v>486</v>
      </c>
      <c r="D89" s="9" t="s">
        <v>487</v>
      </c>
      <c r="E89" s="10" t="str">
        <f>HYPERLINK("https://twitter.com/dangarcar/status/1071427687540027394","1071427687540027394")</f>
        <v>1071427687540027394</v>
      </c>
      <c r="F89" s="12"/>
      <c r="G89" s="12"/>
      <c r="H89" s="12"/>
      <c r="I89" s="13">
        <v>0</v>
      </c>
      <c r="J89" s="13">
        <v>0</v>
      </c>
      <c r="K89" s="14" t="str">
        <f t="shared" si="17"/>
        <v>Twitter for Android</v>
      </c>
      <c r="L89" s="13">
        <v>513</v>
      </c>
      <c r="M89" s="13">
        <v>1920</v>
      </c>
      <c r="N89" s="13">
        <v>6</v>
      </c>
      <c r="O89" s="15"/>
      <c r="P89" s="6">
        <v>40717.843356481484</v>
      </c>
      <c r="Q89" s="16" t="s">
        <v>427</v>
      </c>
      <c r="R89" s="17" t="s">
        <v>488</v>
      </c>
      <c r="S89" s="12"/>
      <c r="T89" s="12"/>
      <c r="U89" s="10" t="str">
        <f>HYPERLINK("https://pbs.twimg.com/profile_images/2664115641/a84dea9684dc3f8ec513fad65e031700.jpeg","View")</f>
        <v>View</v>
      </c>
    </row>
    <row r="90" spans="1:21" ht="30.6">
      <c r="A90" s="6">
        <v>43442.688946759255</v>
      </c>
      <c r="B90" s="7" t="str">
        <f>HYPERLINK("https://twitter.com/lavozdegalicia","@lavozdegalicia")</f>
        <v>@lavozdegalicia</v>
      </c>
      <c r="C90" s="8" t="s">
        <v>489</v>
      </c>
      <c r="D90" s="9" t="s">
        <v>490</v>
      </c>
      <c r="E90" s="10" t="str">
        <f>HYPERLINK("https://twitter.com/lavozdegalicia/status/1071427199041982464","1071427199041982464")</f>
        <v>1071427199041982464</v>
      </c>
      <c r="F90" s="11" t="s">
        <v>492</v>
      </c>
      <c r="G90" s="12"/>
      <c r="H90" s="12"/>
      <c r="I90" s="13">
        <v>0</v>
      </c>
      <c r="J90" s="13">
        <v>0</v>
      </c>
      <c r="K90" s="14" t="str">
        <f>HYPERLINK("http://dogtrack.es","DogTrack_Oficial")</f>
        <v>DogTrack_Oficial</v>
      </c>
      <c r="L90" s="13">
        <v>354579</v>
      </c>
      <c r="M90" s="13">
        <v>165</v>
      </c>
      <c r="N90" s="13">
        <v>3394</v>
      </c>
      <c r="O90" s="18" t="s">
        <v>41</v>
      </c>
      <c r="P90" s="6">
        <v>39941.517291666663</v>
      </c>
      <c r="Q90" s="16" t="s">
        <v>493</v>
      </c>
      <c r="R90" s="17" t="s">
        <v>494</v>
      </c>
      <c r="S90" s="11" t="s">
        <v>495</v>
      </c>
      <c r="T90" s="12"/>
      <c r="U90" s="10" t="str">
        <f>HYPERLINK("https://pbs.twimg.com/profile_images/826477228670201856/5qBZ2KTh.jpg","View")</f>
        <v>View</v>
      </c>
    </row>
    <row r="91" spans="1:21" ht="30.6">
      <c r="A91" s="6">
        <v>43442.687175925923</v>
      </c>
      <c r="B91" s="7" t="str">
        <f>HYPERLINK("https://twitter.com/eldigitalCLM","@eldigitalCLM")</f>
        <v>@eldigitalCLM</v>
      </c>
      <c r="C91" s="8" t="s">
        <v>496</v>
      </c>
      <c r="D91" s="9" t="s">
        <v>497</v>
      </c>
      <c r="E91" s="10" t="str">
        <f>HYPERLINK("https://twitter.com/eldigitalCLM/status/1071426560937394178","1071426560937394178")</f>
        <v>1071426560937394178</v>
      </c>
      <c r="F91" s="11" t="s">
        <v>498</v>
      </c>
      <c r="G91" s="12"/>
      <c r="H91" s="12"/>
      <c r="I91" s="13">
        <v>0</v>
      </c>
      <c r="J91" s="13">
        <v>0</v>
      </c>
      <c r="K91" s="14" t="str">
        <f>HYPERLINK("http://twitter.com","Twitter Web Client")</f>
        <v>Twitter Web Client</v>
      </c>
      <c r="L91" s="13">
        <v>18359</v>
      </c>
      <c r="M91" s="13">
        <v>1967</v>
      </c>
      <c r="N91" s="13">
        <v>302</v>
      </c>
      <c r="O91" s="15"/>
      <c r="P91" s="6">
        <v>40933.756481481483</v>
      </c>
      <c r="Q91" s="16" t="s">
        <v>446</v>
      </c>
      <c r="R91" s="17" t="s">
        <v>499</v>
      </c>
      <c r="S91" s="11" t="s">
        <v>500</v>
      </c>
      <c r="T91" s="12"/>
      <c r="U91" s="10" t="str">
        <f>HYPERLINK("https://pbs.twimg.com/profile_images/552786336529137664/AGjDKk-k.jpeg","View")</f>
        <v>View</v>
      </c>
    </row>
    <row r="92" spans="1:21" ht="40.799999999999997">
      <c r="A92" s="6">
        <v>43442.686168981483</v>
      </c>
      <c r="B92" s="7" t="str">
        <f>HYPERLINK("https://twitter.com/caval100","@caval100")</f>
        <v>@caval100</v>
      </c>
      <c r="C92" s="8" t="s">
        <v>501</v>
      </c>
      <c r="D92" s="9" t="s">
        <v>502</v>
      </c>
      <c r="E92" s="10" t="str">
        <f>HYPERLINK("https://twitter.com/caval100/status/1071426196272021507","1071426196272021507")</f>
        <v>1071426196272021507</v>
      </c>
      <c r="F92" s="11" t="s">
        <v>503</v>
      </c>
      <c r="G92" s="11" t="s">
        <v>504</v>
      </c>
      <c r="H92" s="12"/>
      <c r="I92" s="13">
        <v>0</v>
      </c>
      <c r="J92" s="13">
        <v>1</v>
      </c>
      <c r="K92" s="14" t="str">
        <f>HYPERLINK("http://twitter.com/download/android","Twitter for Android")</f>
        <v>Twitter for Android</v>
      </c>
      <c r="L92" s="13">
        <v>119343</v>
      </c>
      <c r="M92" s="13">
        <v>94000</v>
      </c>
      <c r="N92" s="13">
        <v>982</v>
      </c>
      <c r="O92" s="15"/>
      <c r="P92" s="6">
        <v>40079.437094907407</v>
      </c>
      <c r="Q92" s="16" t="s">
        <v>505</v>
      </c>
      <c r="R92" s="17" t="s">
        <v>506</v>
      </c>
      <c r="S92" s="11" t="s">
        <v>507</v>
      </c>
      <c r="T92" s="12"/>
      <c r="U92" s="10" t="str">
        <f>HYPERLINK("https://pbs.twimg.com/profile_images/965350678301429760/uvGI7g8U.jpg","View")</f>
        <v>View</v>
      </c>
    </row>
    <row r="93" spans="1:21" ht="51">
      <c r="A93" s="6">
        <v>43442.682337962964</v>
      </c>
      <c r="B93" s="7" t="str">
        <f>HYPERLINK("https://twitter.com/arturelpayaso2","@arturelpayaso2")</f>
        <v>@arturelpayaso2</v>
      </c>
      <c r="C93" s="8" t="s">
        <v>508</v>
      </c>
      <c r="D93" s="9" t="s">
        <v>509</v>
      </c>
      <c r="E93" s="10" t="str">
        <f>HYPERLINK("https://twitter.com/arturelpayaso2/status/1071424805587558400","1071424805587558400")</f>
        <v>1071424805587558400</v>
      </c>
      <c r="F93" s="12"/>
      <c r="G93" s="11" t="s">
        <v>510</v>
      </c>
      <c r="H93" s="12"/>
      <c r="I93" s="13">
        <v>156</v>
      </c>
      <c r="J93" s="13">
        <v>161</v>
      </c>
      <c r="K93" s="14" t="str">
        <f>HYPERLINK("http://twitter.com/download/iphone","Twitter for iPhone")</f>
        <v>Twitter for iPhone</v>
      </c>
      <c r="L93" s="13">
        <v>22804</v>
      </c>
      <c r="M93" s="13">
        <v>4956</v>
      </c>
      <c r="N93" s="13">
        <v>143</v>
      </c>
      <c r="O93" s="15"/>
      <c r="P93" s="6">
        <v>42514.717685185184</v>
      </c>
      <c r="Q93" s="16" t="s">
        <v>511</v>
      </c>
      <c r="R93" s="17" t="s">
        <v>512</v>
      </c>
      <c r="S93" s="12"/>
      <c r="T93" s="12"/>
      <c r="U93" s="10" t="str">
        <f>HYPERLINK("https://pbs.twimg.com/profile_images/1008798326878343168/_PyUUais.jpg","View")</f>
        <v>View</v>
      </c>
    </row>
    <row r="94" spans="1:21" ht="40.799999999999997">
      <c r="A94" s="6">
        <v>43442.680972222224</v>
      </c>
      <c r="B94" s="7" t="str">
        <f>HYPERLINK("https://twitter.com/FELIXMA66782826","@FELIXMA66782826")</f>
        <v>@FELIXMA66782826</v>
      </c>
      <c r="C94" s="8" t="s">
        <v>83</v>
      </c>
      <c r="D94" s="9" t="s">
        <v>513</v>
      </c>
      <c r="E94" s="10" t="str">
        <f>HYPERLINK("https://twitter.com/FELIXMA66782826/status/1071424309971832832","1071424309971832832")</f>
        <v>1071424309971832832</v>
      </c>
      <c r="F94" s="16" t="s">
        <v>514</v>
      </c>
      <c r="G94" s="12"/>
      <c r="H94" s="12"/>
      <c r="I94" s="13">
        <v>0</v>
      </c>
      <c r="J94" s="13">
        <v>1</v>
      </c>
      <c r="K94" s="14" t="str">
        <f>HYPERLINK("http://twitter.com/download/android","Twitter for Android")</f>
        <v>Twitter for Android</v>
      </c>
      <c r="L94" s="13">
        <v>130</v>
      </c>
      <c r="M94" s="13">
        <v>434</v>
      </c>
      <c r="N94" s="13">
        <v>0</v>
      </c>
      <c r="O94" s="15"/>
      <c r="P94" s="6">
        <v>43239.908032407402</v>
      </c>
      <c r="Q94" s="16" t="s">
        <v>87</v>
      </c>
      <c r="R94" s="17" t="s">
        <v>88</v>
      </c>
      <c r="S94" s="12"/>
      <c r="T94" s="12"/>
      <c r="U94" s="10" t="str">
        <f>HYPERLINK("https://pbs.twimg.com/profile_images/998112873586069505/YLtC4nWK.jpg","View")</f>
        <v>View</v>
      </c>
    </row>
    <row r="95" spans="1:21" ht="51">
      <c r="A95" s="6">
        <v>43442.680069444439</v>
      </c>
      <c r="B95" s="7" t="str">
        <f>HYPERLINK("https://twitter.com/pgpnzalo1","@pgpnzalo1")</f>
        <v>@pgpnzalo1</v>
      </c>
      <c r="C95" s="8" t="s">
        <v>515</v>
      </c>
      <c r="D95" s="9" t="s">
        <v>516</v>
      </c>
      <c r="E95" s="10" t="str">
        <f>HYPERLINK("https://twitter.com/pgpnzalo1/status/1071423981880778754","1071423981880778754")</f>
        <v>1071423981880778754</v>
      </c>
      <c r="F95" s="11" t="s">
        <v>269</v>
      </c>
      <c r="G95" s="12"/>
      <c r="H95" s="12"/>
      <c r="I95" s="13">
        <v>7</v>
      </c>
      <c r="J95" s="13">
        <v>4</v>
      </c>
      <c r="K95" s="14" t="str">
        <f>HYPERLINK("http://twitter.com/#!/download/ipad","Twitter for iPad")</f>
        <v>Twitter for iPad</v>
      </c>
      <c r="L95" s="13">
        <v>2634</v>
      </c>
      <c r="M95" s="13">
        <v>1691</v>
      </c>
      <c r="N95" s="13">
        <v>14</v>
      </c>
      <c r="O95" s="15"/>
      <c r="P95" s="6">
        <v>42452.777962962966</v>
      </c>
      <c r="Q95" s="16" t="s">
        <v>517</v>
      </c>
      <c r="R95" s="17" t="s">
        <v>518</v>
      </c>
      <c r="S95" s="12"/>
      <c r="T95" s="12"/>
      <c r="U95" s="10" t="str">
        <f>HYPERLINK("https://pbs.twimg.com/profile_images/993298134901186561/A4h76s3b.jpg","View")</f>
        <v>View</v>
      </c>
    </row>
    <row r="96" spans="1:21" ht="102">
      <c r="A96" s="6">
        <v>43442.679513888885</v>
      </c>
      <c r="B96" s="7" t="str">
        <f>HYPERLINK("https://twitter.com/Paquita_R","@Paquita_R")</f>
        <v>@Paquita_R</v>
      </c>
      <c r="C96" s="8" t="s">
        <v>520</v>
      </c>
      <c r="D96" s="9" t="s">
        <v>521</v>
      </c>
      <c r="E96" s="10" t="str">
        <f>HYPERLINK("https://twitter.com/Paquita_R/status/1071423782764580874","1071423782764580874")</f>
        <v>1071423782764580874</v>
      </c>
      <c r="F96" s="11" t="s">
        <v>522</v>
      </c>
      <c r="G96" s="12"/>
      <c r="H96" s="12"/>
      <c r="I96" s="13">
        <v>0</v>
      </c>
      <c r="J96" s="13">
        <v>0</v>
      </c>
      <c r="K96" s="14" t="str">
        <f>HYPERLINK("http://twitter.com","Twitter Web Client")</f>
        <v>Twitter Web Client</v>
      </c>
      <c r="L96" s="13">
        <v>83</v>
      </c>
      <c r="M96" s="13">
        <v>369</v>
      </c>
      <c r="N96" s="13">
        <v>1</v>
      </c>
      <c r="O96" s="15"/>
      <c r="P96" s="6">
        <v>40174.983449074076</v>
      </c>
      <c r="Q96" s="16" t="s">
        <v>200</v>
      </c>
      <c r="R96" s="19"/>
      <c r="S96" s="12"/>
      <c r="T96" s="12"/>
      <c r="U96" s="10" t="str">
        <f>HYPERLINK("https://pbs.twimg.com/profile_images/1067916239484436480/NAudR-HG.jpg","View")</f>
        <v>View</v>
      </c>
    </row>
    <row r="97" spans="1:21" ht="61.2">
      <c r="A97" s="6">
        <v>43442.678993055553</v>
      </c>
      <c r="B97" s="7" t="str">
        <f>HYPERLINK("https://twitter.com/torresnillo_","@torresnillo_")</f>
        <v>@torresnillo_</v>
      </c>
      <c r="C97" s="8" t="s">
        <v>524</v>
      </c>
      <c r="D97" s="9" t="s">
        <v>525</v>
      </c>
      <c r="E97" s="10" t="str">
        <f>HYPERLINK("https://twitter.com/torresnillo_/status/1071423592888455168","1071423592888455168")</f>
        <v>1071423592888455168</v>
      </c>
      <c r="F97" s="11" t="s">
        <v>526</v>
      </c>
      <c r="G97" s="12"/>
      <c r="H97" s="12"/>
      <c r="I97" s="13">
        <v>0</v>
      </c>
      <c r="J97" s="13">
        <v>0</v>
      </c>
      <c r="K97" s="14" t="str">
        <f t="shared" ref="K97:K99" si="18">HYPERLINK("http://twitter.com/download/android","Twitter for Android")</f>
        <v>Twitter for Android</v>
      </c>
      <c r="L97" s="13">
        <v>12</v>
      </c>
      <c r="M97" s="13">
        <v>55</v>
      </c>
      <c r="N97" s="13">
        <v>0</v>
      </c>
      <c r="O97" s="15"/>
      <c r="P97" s="6">
        <v>43441.504872685182</v>
      </c>
      <c r="Q97" s="12"/>
      <c r="R97" s="17" t="s">
        <v>527</v>
      </c>
      <c r="S97" s="12"/>
      <c r="T97" s="12"/>
      <c r="U97" s="10" t="str">
        <f>HYPERLINK("https://pbs.twimg.com/profile_images/1070999368264757249/pXBGrj6S.jpg","View")</f>
        <v>View</v>
      </c>
    </row>
    <row r="98" spans="1:21" ht="40.799999999999997">
      <c r="A98" s="6">
        <v>43442.677824074075</v>
      </c>
      <c r="B98" s="7" t="str">
        <f>HYPERLINK("https://twitter.com/Daniel2286VAL","@Daniel2286VAL")</f>
        <v>@Daniel2286VAL</v>
      </c>
      <c r="C98" s="8" t="s">
        <v>528</v>
      </c>
      <c r="D98" s="9" t="s">
        <v>529</v>
      </c>
      <c r="E98" s="10" t="str">
        <f>HYPERLINK("https://twitter.com/Daniel2286VAL/status/1071423169393762304","1071423169393762304")</f>
        <v>1071423169393762304</v>
      </c>
      <c r="F98" s="11" t="s">
        <v>530</v>
      </c>
      <c r="G98" s="11" t="s">
        <v>531</v>
      </c>
      <c r="H98" s="12"/>
      <c r="I98" s="13">
        <v>0</v>
      </c>
      <c r="J98" s="13">
        <v>0</v>
      </c>
      <c r="K98" s="14" t="str">
        <f t="shared" si="18"/>
        <v>Twitter for Android</v>
      </c>
      <c r="L98" s="13">
        <v>1125</v>
      </c>
      <c r="M98" s="13">
        <v>1051</v>
      </c>
      <c r="N98" s="13">
        <v>5</v>
      </c>
      <c r="O98" s="15"/>
      <c r="P98" s="6">
        <v>43182.681550925925</v>
      </c>
      <c r="Q98" s="16" t="s">
        <v>532</v>
      </c>
      <c r="R98" s="17" t="s">
        <v>533</v>
      </c>
      <c r="S98" s="12"/>
      <c r="T98" s="12"/>
      <c r="U98" s="10" t="str">
        <f>HYPERLINK("https://pbs.twimg.com/profile_images/1050887908792655874/UREU1RPS.jpg","View")</f>
        <v>View</v>
      </c>
    </row>
    <row r="99" spans="1:21" ht="51">
      <c r="A99" s="6">
        <v>43442.677175925928</v>
      </c>
      <c r="B99" s="7" t="str">
        <f>HYPERLINK("https://twitter.com/albasenve","@albasenve")</f>
        <v>@albasenve</v>
      </c>
      <c r="C99" s="8" t="s">
        <v>534</v>
      </c>
      <c r="D99" s="9" t="s">
        <v>535</v>
      </c>
      <c r="E99" s="10" t="str">
        <f>HYPERLINK("https://twitter.com/albasenve/status/1071422937184591874","1071422937184591874")</f>
        <v>1071422937184591874</v>
      </c>
      <c r="F99" s="12"/>
      <c r="G99" s="12"/>
      <c r="H99" s="12"/>
      <c r="I99" s="13">
        <v>2</v>
      </c>
      <c r="J99" s="13">
        <v>6</v>
      </c>
      <c r="K99" s="14" t="str">
        <f t="shared" si="18"/>
        <v>Twitter for Android</v>
      </c>
      <c r="L99" s="13">
        <v>2367</v>
      </c>
      <c r="M99" s="13">
        <v>3156</v>
      </c>
      <c r="N99" s="13">
        <v>20</v>
      </c>
      <c r="O99" s="15"/>
      <c r="P99" s="6">
        <v>42383.663761574076</v>
      </c>
      <c r="Q99" s="12"/>
      <c r="R99" s="17" t="s">
        <v>536</v>
      </c>
      <c r="S99" s="12"/>
      <c r="T99" s="12"/>
      <c r="U99" s="10" t="str">
        <f>HYPERLINK("https://pbs.twimg.com/profile_images/687654041116098560/dSXvXEJQ.jpg","View")</f>
        <v>View</v>
      </c>
    </row>
    <row r="100" spans="1:21" ht="30.6">
      <c r="A100" s="6">
        <v>43442.676504629635</v>
      </c>
      <c r="B100" s="7" t="str">
        <f>HYPERLINK("https://twitter.com/Dama_Cristal","@Dama_Cristal")</f>
        <v>@Dama_Cristal</v>
      </c>
      <c r="C100" s="8" t="s">
        <v>537</v>
      </c>
      <c r="D100" s="9" t="s">
        <v>538</v>
      </c>
      <c r="E100" s="10" t="str">
        <f>HYPERLINK("https://twitter.com/Dama_Cristal/status/1071422690907615235","1071422690907615235")</f>
        <v>1071422690907615235</v>
      </c>
      <c r="F100" s="11" t="s">
        <v>320</v>
      </c>
      <c r="G100" s="12"/>
      <c r="H100" s="12"/>
      <c r="I100" s="13">
        <v>0</v>
      </c>
      <c r="J100" s="13">
        <v>0</v>
      </c>
      <c r="K100" s="14" t="str">
        <f>HYPERLINK("http://twitter.com","Twitter Web Client")</f>
        <v>Twitter Web Client</v>
      </c>
      <c r="L100" s="13">
        <v>3982</v>
      </c>
      <c r="M100" s="13">
        <v>1146</v>
      </c>
      <c r="N100" s="13">
        <v>115</v>
      </c>
      <c r="O100" s="15"/>
      <c r="P100" s="6">
        <v>40055.963437500002</v>
      </c>
      <c r="Q100" s="16" t="s">
        <v>539</v>
      </c>
      <c r="R100" s="17" t="s">
        <v>540</v>
      </c>
      <c r="S100" s="11" t="s">
        <v>541</v>
      </c>
      <c r="T100" s="12"/>
      <c r="U100" s="10" t="str">
        <f>HYPERLINK("https://pbs.twimg.com/profile_images/1063871379488063489/2qf35eY7.jpg","View")</f>
        <v>View</v>
      </c>
    </row>
    <row r="101" spans="1:21" ht="20.399999999999999">
      <c r="A101" s="6">
        <v>43442.674305555556</v>
      </c>
      <c r="B101" s="7" t="str">
        <f>HYPERLINK("https://twitter.com/elconfidencial","@elconfidencial")</f>
        <v>@elconfidencial</v>
      </c>
      <c r="C101" s="8" t="s">
        <v>542</v>
      </c>
      <c r="D101" s="9" t="s">
        <v>543</v>
      </c>
      <c r="E101" s="10" t="str">
        <f>HYPERLINK("https://twitter.com/elconfidencial/status/1071421894660902912","1071421894660902912")</f>
        <v>1071421894660902912</v>
      </c>
      <c r="F101" s="11" t="s">
        <v>436</v>
      </c>
      <c r="G101" s="12"/>
      <c r="H101" s="12"/>
      <c r="I101" s="13">
        <v>4</v>
      </c>
      <c r="J101" s="13">
        <v>5</v>
      </c>
      <c r="K101" s="14" t="str">
        <f>HYPERLINK("https://about.twitter.com/products/tweetdeck","TweetDeck")</f>
        <v>TweetDeck</v>
      </c>
      <c r="L101" s="13">
        <v>765914</v>
      </c>
      <c r="M101" s="13">
        <v>183</v>
      </c>
      <c r="N101" s="13">
        <v>11126</v>
      </c>
      <c r="O101" s="18" t="s">
        <v>41</v>
      </c>
      <c r="P101" s="6">
        <v>39759.468657407408</v>
      </c>
      <c r="Q101" s="16" t="s">
        <v>544</v>
      </c>
      <c r="R101" s="17" t="s">
        <v>545</v>
      </c>
      <c r="S101" s="11" t="s">
        <v>422</v>
      </c>
      <c r="T101" s="12"/>
      <c r="U101" s="10" t="str">
        <f>HYPERLINK("https://pbs.twimg.com/profile_images/831498645476356097/TVsVGq4W.jpg","View")</f>
        <v>View</v>
      </c>
    </row>
    <row r="102" spans="1:21" ht="20.399999999999999">
      <c r="A102" s="6">
        <v>43442.671990740739</v>
      </c>
      <c r="B102" s="7" t="str">
        <f>HYPERLINK("https://twitter.com/invigilio","@invigilio")</f>
        <v>@invigilio</v>
      </c>
      <c r="C102" s="8" t="s">
        <v>546</v>
      </c>
      <c r="D102" s="9" t="s">
        <v>538</v>
      </c>
      <c r="E102" s="10" t="str">
        <f>HYPERLINK("https://twitter.com/invigilio/status/1071421054718001152","1071421054718001152")</f>
        <v>1071421054718001152</v>
      </c>
      <c r="F102" s="11" t="s">
        <v>320</v>
      </c>
      <c r="G102" s="12"/>
      <c r="H102" s="12"/>
      <c r="I102" s="13">
        <v>0</v>
      </c>
      <c r="J102" s="13">
        <v>0</v>
      </c>
      <c r="K102" s="14" t="str">
        <f>HYPERLINK("http://twitter.com","Twitter Web Client")</f>
        <v>Twitter Web Client</v>
      </c>
      <c r="L102" s="13">
        <v>70</v>
      </c>
      <c r="M102" s="13">
        <v>259</v>
      </c>
      <c r="N102" s="13">
        <v>0</v>
      </c>
      <c r="O102" s="15"/>
      <c r="P102" s="6">
        <v>40643.689583333333</v>
      </c>
      <c r="Q102" s="12"/>
      <c r="R102" s="19"/>
      <c r="S102" s="12"/>
      <c r="T102" s="12"/>
      <c r="U102" s="10" t="str">
        <f>HYPERLINK("https://pbs.twimg.com/profile_images/565644078323204096/fshmR8GV.jpeg","View")</f>
        <v>View</v>
      </c>
    </row>
    <row r="103" spans="1:21" ht="40.799999999999997">
      <c r="A103" s="6">
        <v>43442.670891203699</v>
      </c>
      <c r="B103" s="7" t="str">
        <f>HYPERLINK("https://twitter.com/EmilioG13435509","@EmilioG13435509")</f>
        <v>@EmilioG13435509</v>
      </c>
      <c r="C103" s="8" t="s">
        <v>547</v>
      </c>
      <c r="D103" s="9" t="s">
        <v>548</v>
      </c>
      <c r="E103" s="10" t="str">
        <f>HYPERLINK("https://twitter.com/EmilioG13435509/status/1071420657894858753","1071420657894858753")</f>
        <v>1071420657894858753</v>
      </c>
      <c r="F103" s="11" t="s">
        <v>549</v>
      </c>
      <c r="G103" s="12"/>
      <c r="H103" s="12"/>
      <c r="I103" s="13">
        <v>0</v>
      </c>
      <c r="J103" s="13">
        <v>0</v>
      </c>
      <c r="K103" s="14" t="str">
        <f t="shared" ref="K103:K104" si="19">HYPERLINK("http://twitter.com/download/android","Twitter for Android")</f>
        <v>Twitter for Android</v>
      </c>
      <c r="L103" s="13">
        <v>164</v>
      </c>
      <c r="M103" s="13">
        <v>445</v>
      </c>
      <c r="N103" s="13">
        <v>0</v>
      </c>
      <c r="O103" s="15"/>
      <c r="P103" s="6">
        <v>43050.553622685184</v>
      </c>
      <c r="Q103" s="16" t="s">
        <v>60</v>
      </c>
      <c r="R103" s="17" t="s">
        <v>550</v>
      </c>
      <c r="S103" s="12"/>
      <c r="T103" s="12"/>
      <c r="U103" s="10" t="str">
        <f>HYPERLINK("https://pbs.twimg.com/profile_images/939318792282427397/uTCLIszh.jpg","View")</f>
        <v>View</v>
      </c>
    </row>
    <row r="104" spans="1:21" ht="20.399999999999999">
      <c r="A104" s="6">
        <v>43442.67086805556</v>
      </c>
      <c r="B104" s="7" t="str">
        <f>HYPERLINK("https://twitter.com/culhwch00","@culhwch00")</f>
        <v>@culhwch00</v>
      </c>
      <c r="C104" s="8" t="s">
        <v>554</v>
      </c>
      <c r="D104" s="9" t="s">
        <v>555</v>
      </c>
      <c r="E104" s="10" t="str">
        <f>HYPERLINK("https://twitter.com/culhwch00/status/1071420649606922240","1071420649606922240")</f>
        <v>1071420649606922240</v>
      </c>
      <c r="F104" s="11" t="s">
        <v>401</v>
      </c>
      <c r="G104" s="12"/>
      <c r="H104" s="12"/>
      <c r="I104" s="13">
        <v>0</v>
      </c>
      <c r="J104" s="13">
        <v>0</v>
      </c>
      <c r="K104" s="14" t="str">
        <f t="shared" si="19"/>
        <v>Twitter for Android</v>
      </c>
      <c r="L104" s="13">
        <v>134</v>
      </c>
      <c r="M104" s="13">
        <v>548</v>
      </c>
      <c r="N104" s="13">
        <v>5</v>
      </c>
      <c r="O104" s="15"/>
      <c r="P104" s="6">
        <v>40581.006122685183</v>
      </c>
      <c r="Q104" s="16" t="s">
        <v>556</v>
      </c>
      <c r="R104" s="17" t="s">
        <v>557</v>
      </c>
      <c r="S104" s="12"/>
      <c r="T104" s="12"/>
      <c r="U104" s="10" t="str">
        <f>HYPERLINK("https://pbs.twimg.com/profile_images/685101639947128832/UtmsozZS.jpg","View")</f>
        <v>View</v>
      </c>
    </row>
    <row r="105" spans="1:21" ht="20.399999999999999">
      <c r="A105" s="6">
        <v>43442.670717592591</v>
      </c>
      <c r="B105" s="7" t="str">
        <f>HYPERLINK("https://twitter.com/RColladoI","@RColladoI")</f>
        <v>@RColladoI</v>
      </c>
      <c r="C105" s="8" t="s">
        <v>558</v>
      </c>
      <c r="D105" s="9" t="s">
        <v>559</v>
      </c>
      <c r="E105" s="10" t="str">
        <f>HYPERLINK("https://twitter.com/RColladoI/status/1071420594456006657","1071420594456006657")</f>
        <v>1071420594456006657</v>
      </c>
      <c r="F105" s="11" t="s">
        <v>269</v>
      </c>
      <c r="G105" s="12"/>
      <c r="H105" s="12"/>
      <c r="I105" s="13">
        <v>0</v>
      </c>
      <c r="J105" s="13">
        <v>0</v>
      </c>
      <c r="K105" s="14" t="str">
        <f>HYPERLINK("http://twitter.com","Twitter Web Client")</f>
        <v>Twitter Web Client</v>
      </c>
      <c r="L105" s="13">
        <v>134</v>
      </c>
      <c r="M105" s="13">
        <v>52</v>
      </c>
      <c r="N105" s="13">
        <v>0</v>
      </c>
      <c r="O105" s="15"/>
      <c r="P105" s="6">
        <v>40989.325740740736</v>
      </c>
      <c r="Q105" s="16" t="s">
        <v>325</v>
      </c>
      <c r="R105" s="17" t="s">
        <v>560</v>
      </c>
      <c r="S105" s="11" t="s">
        <v>561</v>
      </c>
      <c r="T105" s="12"/>
      <c r="U105" s="10" t="str">
        <f>HYPERLINK("https://pbs.twimg.com/profile_images/2261081268/foto_collado.JPG","View")</f>
        <v>View</v>
      </c>
    </row>
    <row r="106" spans="1:21" ht="30.6">
      <c r="A106" s="6">
        <v>43442.670324074075</v>
      </c>
      <c r="B106" s="7" t="str">
        <f>HYPERLINK("https://twitter.com/PipeSmoker7","@PipeSmoker7")</f>
        <v>@PipeSmoker7</v>
      </c>
      <c r="C106" s="8" t="s">
        <v>562</v>
      </c>
      <c r="D106" s="9" t="s">
        <v>563</v>
      </c>
      <c r="E106" s="10" t="str">
        <f>HYPERLINK("https://twitter.com/PipeSmoker7/status/1071420451593904129","1071420451593904129")</f>
        <v>1071420451593904129</v>
      </c>
      <c r="F106" s="12"/>
      <c r="G106" s="12"/>
      <c r="H106" s="12"/>
      <c r="I106" s="13">
        <v>0</v>
      </c>
      <c r="J106" s="13">
        <v>0</v>
      </c>
      <c r="K106" s="14" t="str">
        <f>HYPERLINK("http://twitter.com/download/android","Twitter for Android")</f>
        <v>Twitter for Android</v>
      </c>
      <c r="L106" s="13">
        <v>144</v>
      </c>
      <c r="M106" s="13">
        <v>35</v>
      </c>
      <c r="N106" s="13">
        <v>3</v>
      </c>
      <c r="O106" s="15"/>
      <c r="P106" s="6">
        <v>40982.1175462963</v>
      </c>
      <c r="Q106" s="12"/>
      <c r="R106" s="17" t="s">
        <v>562</v>
      </c>
      <c r="S106" s="12"/>
      <c r="T106" s="12"/>
      <c r="U106" s="10" t="str">
        <f>HYPERLINK("https://pbs.twimg.com/profile_images/1006882099851354112/LNQDwsGj.jpg","View")</f>
        <v>View</v>
      </c>
    </row>
    <row r="107" spans="1:21" ht="40.799999999999997">
      <c r="A107" s="6">
        <v>43442.67019675926</v>
      </c>
      <c r="B107" s="7" t="str">
        <f>HYPERLINK("https://twitter.com/caval100","@caval100")</f>
        <v>@caval100</v>
      </c>
      <c r="C107" s="8" t="s">
        <v>501</v>
      </c>
      <c r="D107" s="9" t="s">
        <v>564</v>
      </c>
      <c r="E107" s="10" t="str">
        <f>HYPERLINK("https://twitter.com/caval100/status/1071420404613431297","1071420404613431297")</f>
        <v>1071420404613431297</v>
      </c>
      <c r="F107" s="11" t="s">
        <v>565</v>
      </c>
      <c r="G107" s="12"/>
      <c r="H107" s="12"/>
      <c r="I107" s="13">
        <v>0</v>
      </c>
      <c r="J107" s="13">
        <v>2</v>
      </c>
      <c r="K107" s="14" t="str">
        <f t="shared" ref="K107:K111" si="20">HYPERLINK("http://twitter.com","Twitter Web Client")</f>
        <v>Twitter Web Client</v>
      </c>
      <c r="L107" s="13">
        <v>119343</v>
      </c>
      <c r="M107" s="13">
        <v>94000</v>
      </c>
      <c r="N107" s="13">
        <v>982</v>
      </c>
      <c r="O107" s="15"/>
      <c r="P107" s="6">
        <v>40079.437094907407</v>
      </c>
      <c r="Q107" s="16" t="s">
        <v>505</v>
      </c>
      <c r="R107" s="17" t="s">
        <v>506</v>
      </c>
      <c r="S107" s="11" t="s">
        <v>507</v>
      </c>
      <c r="T107" s="12"/>
      <c r="U107" s="10" t="str">
        <f>HYPERLINK("https://pbs.twimg.com/profile_images/965350678301429760/uvGI7g8U.jpg","View")</f>
        <v>View</v>
      </c>
    </row>
    <row r="108" spans="1:21" ht="40.799999999999997">
      <c r="A108" s="6">
        <v>43442.669282407413</v>
      </c>
      <c r="B108" s="7" t="str">
        <f>HYPERLINK("https://twitter.com/Pedro24a","@Pedro24a")</f>
        <v>@Pedro24a</v>
      </c>
      <c r="C108" s="8" t="s">
        <v>567</v>
      </c>
      <c r="D108" s="9" t="s">
        <v>568</v>
      </c>
      <c r="E108" s="10" t="str">
        <f>HYPERLINK("https://twitter.com/Pedro24a/status/1071420074060382210","1071420074060382210")</f>
        <v>1071420074060382210</v>
      </c>
      <c r="F108" s="11" t="s">
        <v>401</v>
      </c>
      <c r="G108" s="12"/>
      <c r="H108" s="12"/>
      <c r="I108" s="13">
        <v>0</v>
      </c>
      <c r="J108" s="13">
        <v>0</v>
      </c>
      <c r="K108" s="14" t="str">
        <f t="shared" si="20"/>
        <v>Twitter Web Client</v>
      </c>
      <c r="L108" s="13">
        <v>74</v>
      </c>
      <c r="M108" s="13">
        <v>87</v>
      </c>
      <c r="N108" s="13">
        <v>0</v>
      </c>
      <c r="O108" s="15"/>
      <c r="P108" s="6">
        <v>41094.140659722223</v>
      </c>
      <c r="Q108" s="16" t="s">
        <v>230</v>
      </c>
      <c r="R108" s="17" t="s">
        <v>569</v>
      </c>
      <c r="S108" s="12"/>
      <c r="T108" s="12"/>
      <c r="U108" s="10" t="str">
        <f>HYPERLINK("https://pbs.twimg.com/profile_images/1003008521183682561/f-qG_bwB.jpg","View")</f>
        <v>View</v>
      </c>
    </row>
    <row r="109" spans="1:21" ht="51">
      <c r="A109" s="6">
        <v>43442.669270833328</v>
      </c>
      <c r="B109" s="7" t="str">
        <f t="shared" ref="B109:B110" si="21">HYPERLINK("https://twitter.com/caval100","@caval100")</f>
        <v>@caval100</v>
      </c>
      <c r="C109" s="8" t="s">
        <v>501</v>
      </c>
      <c r="D109" s="9" t="s">
        <v>570</v>
      </c>
      <c r="E109" s="10" t="str">
        <f>HYPERLINK("https://twitter.com/caval100/status/1071420071908700160","1071420071908700160")</f>
        <v>1071420071908700160</v>
      </c>
      <c r="F109" s="11" t="s">
        <v>571</v>
      </c>
      <c r="G109" s="12"/>
      <c r="H109" s="12"/>
      <c r="I109" s="13">
        <v>1</v>
      </c>
      <c r="J109" s="13">
        <v>2</v>
      </c>
      <c r="K109" s="14" t="str">
        <f t="shared" si="20"/>
        <v>Twitter Web Client</v>
      </c>
      <c r="L109" s="13">
        <v>119343</v>
      </c>
      <c r="M109" s="13">
        <v>94000</v>
      </c>
      <c r="N109" s="13">
        <v>982</v>
      </c>
      <c r="O109" s="15"/>
      <c r="P109" s="6">
        <v>40079.437094907407</v>
      </c>
      <c r="Q109" s="16" t="s">
        <v>505</v>
      </c>
      <c r="R109" s="17" t="s">
        <v>506</v>
      </c>
      <c r="S109" s="11" t="s">
        <v>507</v>
      </c>
      <c r="T109" s="12"/>
      <c r="U109" s="10" t="str">
        <f t="shared" ref="U109:U110" si="22">HYPERLINK("https://pbs.twimg.com/profile_images/965350678301429760/uvGI7g8U.jpg","View")</f>
        <v>View</v>
      </c>
    </row>
    <row r="110" spans="1:21" ht="51">
      <c r="A110" s="6">
        <v>43442.668460648143</v>
      </c>
      <c r="B110" s="7" t="str">
        <f t="shared" si="21"/>
        <v>@caval100</v>
      </c>
      <c r="C110" s="8" t="s">
        <v>501</v>
      </c>
      <c r="D110" s="9" t="s">
        <v>572</v>
      </c>
      <c r="E110" s="10" t="str">
        <f>HYPERLINK("https://twitter.com/caval100/status/1071419776910671875","1071419776910671875")</f>
        <v>1071419776910671875</v>
      </c>
      <c r="F110" s="11" t="s">
        <v>573</v>
      </c>
      <c r="G110" s="12"/>
      <c r="H110" s="12"/>
      <c r="I110" s="13">
        <v>0</v>
      </c>
      <c r="J110" s="13">
        <v>2</v>
      </c>
      <c r="K110" s="14" t="str">
        <f t="shared" si="20"/>
        <v>Twitter Web Client</v>
      </c>
      <c r="L110" s="13">
        <v>119343</v>
      </c>
      <c r="M110" s="13">
        <v>94000</v>
      </c>
      <c r="N110" s="13">
        <v>982</v>
      </c>
      <c r="O110" s="15"/>
      <c r="P110" s="6">
        <v>40079.437094907407</v>
      </c>
      <c r="Q110" s="16" t="s">
        <v>505</v>
      </c>
      <c r="R110" s="17" t="s">
        <v>506</v>
      </c>
      <c r="S110" s="11" t="s">
        <v>507</v>
      </c>
      <c r="T110" s="12"/>
      <c r="U110" s="10" t="str">
        <f t="shared" si="22"/>
        <v>View</v>
      </c>
    </row>
    <row r="111" spans="1:21" ht="30.6">
      <c r="A111" s="6">
        <v>43442.665671296301</v>
      </c>
      <c r="B111" s="7" t="str">
        <f>HYPERLINK("https://twitter.com/pacomarcosct","@pacomarcosct")</f>
        <v>@pacomarcosct</v>
      </c>
      <c r="C111" s="8" t="s">
        <v>574</v>
      </c>
      <c r="D111" s="9" t="s">
        <v>575</v>
      </c>
      <c r="E111" s="10" t="str">
        <f>HYPERLINK("https://twitter.com/pacomarcosct/status/1071418768105066496","1071418768105066496")</f>
        <v>1071418768105066496</v>
      </c>
      <c r="F111" s="11" t="s">
        <v>576</v>
      </c>
      <c r="G111" s="12"/>
      <c r="H111" s="12"/>
      <c r="I111" s="13">
        <v>0</v>
      </c>
      <c r="J111" s="13">
        <v>0</v>
      </c>
      <c r="K111" s="14" t="str">
        <f t="shared" si="20"/>
        <v>Twitter Web Client</v>
      </c>
      <c r="L111" s="13">
        <v>398</v>
      </c>
      <c r="M111" s="13">
        <v>802</v>
      </c>
      <c r="N111" s="13">
        <v>20</v>
      </c>
      <c r="O111" s="15"/>
      <c r="P111" s="6">
        <v>41455.622129629628</v>
      </c>
      <c r="Q111" s="16" t="s">
        <v>577</v>
      </c>
      <c r="R111" s="17" t="s">
        <v>578</v>
      </c>
      <c r="S111" s="12"/>
      <c r="T111" s="12"/>
      <c r="U111" s="10" t="str">
        <f>HYPERLINK("https://pbs.twimg.com/profile_images/683316866845143040/hlxgwpFK.jpg","View")</f>
        <v>View</v>
      </c>
    </row>
    <row r="112" spans="1:21" ht="20.399999999999999">
      <c r="A112" s="6">
        <v>43442.665486111116</v>
      </c>
      <c r="B112" s="7" t="str">
        <f>HYPERLINK("https://twitter.com/L20mOtros","@L20mOtros")</f>
        <v>@L20mOtros</v>
      </c>
      <c r="C112" s="8" t="s">
        <v>579</v>
      </c>
      <c r="D112" s="9" t="s">
        <v>400</v>
      </c>
      <c r="E112" s="10" t="str">
        <f>HYPERLINK("https://twitter.com/L20mOtros/status/1071418700635475968","1071418700635475968")</f>
        <v>1071418700635475968</v>
      </c>
      <c r="F112" s="11" t="s">
        <v>581</v>
      </c>
      <c r="G112" s="11" t="s">
        <v>582</v>
      </c>
      <c r="H112" s="12"/>
      <c r="I112" s="13">
        <v>0</v>
      </c>
      <c r="J112" s="13">
        <v>0</v>
      </c>
      <c r="K112" s="14" t="str">
        <f>HYPERLINK("http://dogtrack.es","DogTrack_Oficial")</f>
        <v>DogTrack_Oficial</v>
      </c>
      <c r="L112" s="13">
        <v>23</v>
      </c>
      <c r="M112" s="13">
        <v>8</v>
      </c>
      <c r="N112" s="13">
        <v>0</v>
      </c>
      <c r="O112" s="15"/>
      <c r="P112" s="6">
        <v>41285.602418981478</v>
      </c>
      <c r="Q112" s="12"/>
      <c r="R112" s="19"/>
      <c r="S112" s="11" t="s">
        <v>585</v>
      </c>
      <c r="T112" s="12"/>
      <c r="U112" s="10" t="str">
        <f>HYPERLINK("https://pbs.twimg.com/profile_images/3148562799/6854a445e373c5053b43f5c11d764b41.jpeg","View")</f>
        <v>View</v>
      </c>
    </row>
    <row r="113" spans="1:21" ht="51">
      <c r="A113" s="6">
        <v>43442.664201388892</v>
      </c>
      <c r="B113" s="7" t="str">
        <f>HYPERLINK("https://twitter.com/Joffeca","@Joffeca")</f>
        <v>@Joffeca</v>
      </c>
      <c r="C113" s="8" t="s">
        <v>591</v>
      </c>
      <c r="D113" s="9" t="s">
        <v>592</v>
      </c>
      <c r="E113" s="10" t="str">
        <f>HYPERLINK("https://twitter.com/Joffeca/status/1071418233461358593","1071418233461358593")</f>
        <v>1071418233461358593</v>
      </c>
      <c r="F113" s="12"/>
      <c r="G113" s="12"/>
      <c r="H113" s="12"/>
      <c r="I113" s="13">
        <v>4</v>
      </c>
      <c r="J113" s="13">
        <v>5</v>
      </c>
      <c r="K113" s="14" t="str">
        <f>HYPERLINK("http://twitter.com","Twitter Web Client")</f>
        <v>Twitter Web Client</v>
      </c>
      <c r="L113" s="13">
        <v>969</v>
      </c>
      <c r="M113" s="13">
        <v>823</v>
      </c>
      <c r="N113" s="13">
        <v>10</v>
      </c>
      <c r="O113" s="15"/>
      <c r="P113" s="6">
        <v>41306.745046296295</v>
      </c>
      <c r="Q113" s="16" t="s">
        <v>594</v>
      </c>
      <c r="R113" s="17" t="s">
        <v>595</v>
      </c>
      <c r="S113" s="12"/>
      <c r="T113" s="12"/>
      <c r="U113" s="10" t="str">
        <f>HYPERLINK("https://pbs.twimg.com/profile_images/814148167205785600/1kRzUxxW.jpg","View")</f>
        <v>View</v>
      </c>
    </row>
    <row r="114" spans="1:21" ht="40.799999999999997">
      <c r="A114" s="6">
        <v>43442.663969907408</v>
      </c>
      <c r="B114" s="7" t="str">
        <f>HYPERLINK("https://twitter.com/rss_noticias","@rss_noticias")</f>
        <v>@rss_noticias</v>
      </c>
      <c r="C114" s="8" t="s">
        <v>596</v>
      </c>
      <c r="D114" s="9" t="s">
        <v>597</v>
      </c>
      <c r="E114" s="10" t="str">
        <f>HYPERLINK("https://twitter.com/rss_noticias/status/1071418148723806209","1071418148723806209")</f>
        <v>1071418148723806209</v>
      </c>
      <c r="F114" s="11" t="s">
        <v>598</v>
      </c>
      <c r="G114" s="12"/>
      <c r="H114" s="12"/>
      <c r="I114" s="13">
        <v>0</v>
      </c>
      <c r="J114" s="13">
        <v>0</v>
      </c>
      <c r="K114" s="14" t="str">
        <f>HYPERLINK("https://ifttt.com","IFTTT")</f>
        <v>IFTTT</v>
      </c>
      <c r="L114" s="13">
        <v>453</v>
      </c>
      <c r="M114" s="13">
        <v>1</v>
      </c>
      <c r="N114" s="13">
        <v>7</v>
      </c>
      <c r="O114" s="15"/>
      <c r="P114" s="6">
        <v>43425.916296296295</v>
      </c>
      <c r="Q114" s="16" t="s">
        <v>599</v>
      </c>
      <c r="R114" s="17" t="s">
        <v>600</v>
      </c>
      <c r="S114" s="12"/>
      <c r="T114" s="12"/>
      <c r="U114" s="10" t="str">
        <f>HYPERLINK("https://pbs.twimg.com/profile_images/1065358148377153542/OtJ5HtwI.jpg","View")</f>
        <v>View</v>
      </c>
    </row>
    <row r="115" spans="1:21" ht="91.8">
      <c r="A115" s="6">
        <v>43442.662986111114</v>
      </c>
      <c r="B115" s="7" t="str">
        <f>HYPERLINK("https://twitter.com/GatoSable","@GatoSable")</f>
        <v>@GatoSable</v>
      </c>
      <c r="C115" s="8" t="s">
        <v>601</v>
      </c>
      <c r="D115" s="9" t="s">
        <v>602</v>
      </c>
      <c r="E115" s="10" t="str">
        <f>HYPERLINK("https://twitter.com/GatoSable/status/1071417792073752577","1071417792073752577")</f>
        <v>1071417792073752577</v>
      </c>
      <c r="F115" s="16" t="s">
        <v>603</v>
      </c>
      <c r="G115" s="12"/>
      <c r="H115" s="12"/>
      <c r="I115" s="13">
        <v>1</v>
      </c>
      <c r="J115" s="13">
        <v>2</v>
      </c>
      <c r="K115" s="14" t="str">
        <f>HYPERLINK("https://mobile.twitter.com","Twitter Lite")</f>
        <v>Twitter Lite</v>
      </c>
      <c r="L115" s="13">
        <v>2</v>
      </c>
      <c r="M115" s="13">
        <v>42</v>
      </c>
      <c r="N115" s="13">
        <v>0</v>
      </c>
      <c r="O115" s="15"/>
      <c r="P115" s="6">
        <v>41865.172060185185</v>
      </c>
      <c r="Q115" s="12"/>
      <c r="R115" s="19"/>
      <c r="S115" s="12"/>
      <c r="T115" s="12"/>
      <c r="U115" s="18" t="s">
        <v>67</v>
      </c>
    </row>
    <row r="116" spans="1:21" ht="51">
      <c r="A116" s="6">
        <v>43442.662939814814</v>
      </c>
      <c r="B116" s="7" t="str">
        <f>HYPERLINK("https://twitter.com/Shizuka_free","@Shizuka_free")</f>
        <v>@Shizuka_free</v>
      </c>
      <c r="C116" s="8" t="s">
        <v>604</v>
      </c>
      <c r="D116" s="9" t="s">
        <v>605</v>
      </c>
      <c r="E116" s="10" t="str">
        <f>HYPERLINK("https://twitter.com/Shizuka_free/status/1071417774965166081","1071417774965166081")</f>
        <v>1071417774965166081</v>
      </c>
      <c r="F116" s="12"/>
      <c r="G116" s="12"/>
      <c r="H116" s="12"/>
      <c r="I116" s="13">
        <v>0</v>
      </c>
      <c r="J116" s="13">
        <v>0</v>
      </c>
      <c r="K116" s="14" t="str">
        <f t="shared" ref="K116:K117" si="23">HYPERLINK("http://twitter.com","Twitter Web Client")</f>
        <v>Twitter Web Client</v>
      </c>
      <c r="L116" s="13">
        <v>7</v>
      </c>
      <c r="M116" s="13">
        <v>16</v>
      </c>
      <c r="N116" s="13">
        <v>0</v>
      </c>
      <c r="O116" s="15"/>
      <c r="P116" s="6">
        <v>43346.671678240746</v>
      </c>
      <c r="Q116" s="12"/>
      <c r="R116" s="17" t="s">
        <v>606</v>
      </c>
      <c r="S116" s="11" t="s">
        <v>607</v>
      </c>
      <c r="T116" s="12"/>
      <c r="U116" s="10" t="str">
        <f>HYPERLINK("https://pbs.twimg.com/profile_images/1044185309360136192/WaqgHy3M.jpg","View")</f>
        <v>View</v>
      </c>
    </row>
    <row r="117" spans="1:21" ht="51">
      <c r="A117" s="6">
        <v>43442.661770833336</v>
      </c>
      <c r="B117" s="7" t="str">
        <f>HYPERLINK("https://twitter.com/Pablo_RM_13","@Pablo_RM_13")</f>
        <v>@Pablo_RM_13</v>
      </c>
      <c r="C117" s="8" t="s">
        <v>609</v>
      </c>
      <c r="D117" s="9" t="s">
        <v>610</v>
      </c>
      <c r="E117" s="10" t="str">
        <f>HYPERLINK("https://twitter.com/Pablo_RM_13/status/1071417353840271361","1071417353840271361")</f>
        <v>1071417353840271361</v>
      </c>
      <c r="F117" s="12"/>
      <c r="G117" s="12"/>
      <c r="H117" s="12"/>
      <c r="I117" s="13">
        <v>0</v>
      </c>
      <c r="J117" s="13">
        <v>0</v>
      </c>
      <c r="K117" s="14" t="str">
        <f t="shared" si="23"/>
        <v>Twitter Web Client</v>
      </c>
      <c r="L117" s="13">
        <v>2105</v>
      </c>
      <c r="M117" s="13">
        <v>1250</v>
      </c>
      <c r="N117" s="13">
        <v>26</v>
      </c>
      <c r="O117" s="15"/>
      <c r="P117" s="6">
        <v>42626.00445601852</v>
      </c>
      <c r="Q117" s="16" t="s">
        <v>611</v>
      </c>
      <c r="R117" s="17" t="s">
        <v>612</v>
      </c>
      <c r="S117" s="12"/>
      <c r="T117" s="12"/>
      <c r="U117" s="10" t="str">
        <f>HYPERLINK("https://pbs.twimg.com/profile_images/1056497072717905920/jd3ck4vA.jpg","View")</f>
        <v>View</v>
      </c>
    </row>
    <row r="118" spans="1:21" ht="40.799999999999997">
      <c r="A118" s="6">
        <v>43442.661736111113</v>
      </c>
      <c r="B118" s="7" t="str">
        <f>HYPERLINK("https://twitter.com/Mertxeramos","@Mertxeramos")</f>
        <v>@Mertxeramos</v>
      </c>
      <c r="C118" s="8" t="s">
        <v>613</v>
      </c>
      <c r="D118" s="9" t="s">
        <v>615</v>
      </c>
      <c r="E118" s="10" t="str">
        <f>HYPERLINK("https://twitter.com/Mertxeramos/status/1071417340540215297","1071417340540215297")</f>
        <v>1071417340540215297</v>
      </c>
      <c r="F118" s="11" t="s">
        <v>616</v>
      </c>
      <c r="G118" s="12"/>
      <c r="H118" s="12"/>
      <c r="I118" s="13">
        <v>0</v>
      </c>
      <c r="J118" s="13">
        <v>0</v>
      </c>
      <c r="K118" s="14" t="str">
        <f>HYPERLINK("http://twitter.com/download/android","Twitter for Android")</f>
        <v>Twitter for Android</v>
      </c>
      <c r="L118" s="13">
        <v>2285</v>
      </c>
      <c r="M118" s="13">
        <v>1490</v>
      </c>
      <c r="N118" s="13">
        <v>132</v>
      </c>
      <c r="O118" s="15"/>
      <c r="P118" s="6">
        <v>40423.982592592591</v>
      </c>
      <c r="Q118" s="16" t="s">
        <v>617</v>
      </c>
      <c r="R118" s="17" t="s">
        <v>618</v>
      </c>
      <c r="S118" s="11" t="s">
        <v>619</v>
      </c>
      <c r="T118" s="12"/>
      <c r="U118" s="10" t="str">
        <f>HYPERLINK("https://pbs.twimg.com/profile_images/1041739174401990656/ebAAcGu_.jpg","View")</f>
        <v>View</v>
      </c>
    </row>
    <row r="119" spans="1:21" ht="40.799999999999997">
      <c r="A119" s="6">
        <v>43442.661365740743</v>
      </c>
      <c r="B119" s="7" t="str">
        <f>HYPERLINK("https://twitter.com/marcoantoniodsm","@marcoantoniodsm")</f>
        <v>@marcoantoniodsm</v>
      </c>
      <c r="C119" s="8" t="s">
        <v>620</v>
      </c>
      <c r="D119" s="9" t="s">
        <v>621</v>
      </c>
      <c r="E119" s="10" t="str">
        <f>HYPERLINK("https://twitter.com/marcoantoniodsm/status/1071417206242713603","1071417206242713603")</f>
        <v>1071417206242713603</v>
      </c>
      <c r="F119" s="16" t="s">
        <v>212</v>
      </c>
      <c r="G119" s="12"/>
      <c r="H119" s="12"/>
      <c r="I119" s="13">
        <v>0</v>
      </c>
      <c r="J119" s="13">
        <v>0</v>
      </c>
      <c r="K119" s="14" t="str">
        <f>HYPERLINK("http://twitter.com","Twitter Web Client")</f>
        <v>Twitter Web Client</v>
      </c>
      <c r="L119" s="13">
        <v>618</v>
      </c>
      <c r="M119" s="13">
        <v>1775</v>
      </c>
      <c r="N119" s="13">
        <v>11</v>
      </c>
      <c r="O119" s="15"/>
      <c r="P119" s="6">
        <v>40381.835844907408</v>
      </c>
      <c r="Q119" s="16" t="s">
        <v>623</v>
      </c>
      <c r="R119" s="17" t="s">
        <v>624</v>
      </c>
      <c r="S119" s="11" t="s">
        <v>625</v>
      </c>
      <c r="T119" s="12"/>
      <c r="U119" s="10" t="str">
        <f>HYPERLINK("https://pbs.twimg.com/profile_images/1025851450323283968/Od0XFvHP.jpg","View")</f>
        <v>View</v>
      </c>
    </row>
    <row r="120" spans="1:21" ht="51">
      <c r="A120" s="6">
        <v>43442.661134259259</v>
      </c>
      <c r="B120" s="7" t="str">
        <f>HYPERLINK("https://twitter.com/PovedaJB","@PovedaJB")</f>
        <v>@PovedaJB</v>
      </c>
      <c r="C120" s="8" t="s">
        <v>626</v>
      </c>
      <c r="D120" s="9" t="s">
        <v>627</v>
      </c>
      <c r="E120" s="10" t="str">
        <f>HYPERLINK("https://twitter.com/PovedaJB/status/1071417121295482880","1071417121295482880")</f>
        <v>1071417121295482880</v>
      </c>
      <c r="F120" s="12"/>
      <c r="G120" s="12"/>
      <c r="H120" s="12"/>
      <c r="I120" s="13">
        <v>0</v>
      </c>
      <c r="J120" s="13">
        <v>0</v>
      </c>
      <c r="K120" s="14" t="str">
        <f>HYPERLINK("http://twitter.com/download/iphone","Twitter for iPhone")</f>
        <v>Twitter for iPhone</v>
      </c>
      <c r="L120" s="13">
        <v>49</v>
      </c>
      <c r="M120" s="13">
        <v>135</v>
      </c>
      <c r="N120" s="13">
        <v>0</v>
      </c>
      <c r="O120" s="15"/>
      <c r="P120" s="6">
        <v>41127.920960648145</v>
      </c>
      <c r="Q120" s="16" t="s">
        <v>630</v>
      </c>
      <c r="R120" s="17" t="s">
        <v>631</v>
      </c>
      <c r="S120" s="12"/>
      <c r="T120" s="12"/>
      <c r="U120" s="10" t="str">
        <f>HYPERLINK("https://pbs.twimg.com/profile_images/792728797623750656/P9DBhNAH.jpg","View")</f>
        <v>View</v>
      </c>
    </row>
    <row r="121" spans="1:21" ht="40.799999999999997">
      <c r="A121" s="6">
        <v>43442.660462962958</v>
      </c>
      <c r="B121" s="7" t="str">
        <f>HYPERLINK("https://twitter.com/amicalupus","@amicalupus")</f>
        <v>@amicalupus</v>
      </c>
      <c r="C121" s="8" t="s">
        <v>632</v>
      </c>
      <c r="D121" s="9" t="s">
        <v>633</v>
      </c>
      <c r="E121" s="10" t="str">
        <f>HYPERLINK("https://twitter.com/amicalupus/status/1071416878852132864","1071416878852132864")</f>
        <v>1071416878852132864</v>
      </c>
      <c r="F121" s="11" t="s">
        <v>634</v>
      </c>
      <c r="G121" s="12"/>
      <c r="H121" s="12"/>
      <c r="I121" s="13">
        <v>0</v>
      </c>
      <c r="J121" s="13">
        <v>0</v>
      </c>
      <c r="K121" s="14" t="str">
        <f>HYPERLINK("http://twitter.com","Twitter Web Client")</f>
        <v>Twitter Web Client</v>
      </c>
      <c r="L121" s="13">
        <v>1105</v>
      </c>
      <c r="M121" s="13">
        <v>839</v>
      </c>
      <c r="N121" s="13">
        <v>164</v>
      </c>
      <c r="O121" s="15"/>
      <c r="P121" s="6">
        <v>41310.045266203706</v>
      </c>
      <c r="Q121" s="16" t="s">
        <v>60</v>
      </c>
      <c r="R121" s="17" t="s">
        <v>635</v>
      </c>
      <c r="S121" s="12"/>
      <c r="T121" s="12"/>
      <c r="U121" s="10" t="str">
        <f>HYPERLINK("https://pbs.twimg.com/profile_images/1061276996607664128/38oPIhLq.jpg","View")</f>
        <v>View</v>
      </c>
    </row>
    <row r="122" spans="1:21" ht="51">
      <c r="A122" s="6">
        <v>43442.659895833334</v>
      </c>
      <c r="B122" s="7" t="str">
        <f>HYPERLINK("https://twitter.com/FelipeGCoto","@FelipeGCoto")</f>
        <v>@FelipeGCoto</v>
      </c>
      <c r="C122" s="8" t="s">
        <v>636</v>
      </c>
      <c r="D122" s="9" t="s">
        <v>637</v>
      </c>
      <c r="E122" s="10" t="str">
        <f>HYPERLINK("https://twitter.com/FelipeGCoto/status/1071416675239673856","1071416675239673856")</f>
        <v>1071416675239673856</v>
      </c>
      <c r="F122" s="11" t="s">
        <v>638</v>
      </c>
      <c r="G122" s="12"/>
      <c r="H122" s="12"/>
      <c r="I122" s="13">
        <v>4</v>
      </c>
      <c r="J122" s="13">
        <v>4</v>
      </c>
      <c r="K122" s="14" t="str">
        <f>HYPERLINK("http://twitter.com/#!/download/ipad","Twitter for iPad")</f>
        <v>Twitter for iPad</v>
      </c>
      <c r="L122" s="13">
        <v>1087</v>
      </c>
      <c r="M122" s="13">
        <v>758</v>
      </c>
      <c r="N122" s="13">
        <v>44</v>
      </c>
      <c r="O122" s="15"/>
      <c r="P122" s="6">
        <v>40027.591469907406</v>
      </c>
      <c r="Q122" s="16" t="s">
        <v>639</v>
      </c>
      <c r="R122" s="17" t="s">
        <v>640</v>
      </c>
      <c r="S122" s="16" t="s">
        <v>641</v>
      </c>
      <c r="T122" s="12"/>
      <c r="U122" s="10" t="str">
        <f>HYPERLINK("https://pbs.twimg.com/profile_images/1065688194958667776/7kdNWvfz.jpg","View")</f>
        <v>View</v>
      </c>
    </row>
    <row r="123" spans="1:21" ht="20.399999999999999">
      <c r="A123" s="6">
        <v>43442.659722222219</v>
      </c>
      <c r="B123" s="7" t="str">
        <f>HYPERLINK("https://twitter.com/eldiarioes","@eldiarioes")</f>
        <v>@eldiarioes</v>
      </c>
      <c r="C123" s="20" t="s">
        <v>642</v>
      </c>
      <c r="D123" s="9" t="s">
        <v>502</v>
      </c>
      <c r="E123" s="10" t="str">
        <f>HYPERLINK("https://twitter.com/eldiarioes/status/1071416609502244865","1071416609502244865")</f>
        <v>1071416609502244865</v>
      </c>
      <c r="F123" s="11" t="s">
        <v>503</v>
      </c>
      <c r="G123" s="11" t="s">
        <v>504</v>
      </c>
      <c r="H123" s="12"/>
      <c r="I123" s="13">
        <v>10</v>
      </c>
      <c r="J123" s="13">
        <v>23</v>
      </c>
      <c r="K123" s="14" t="str">
        <f>HYPERLINK("https://about.twitter.com/products/tweetdeck","TweetDeck")</f>
        <v>TweetDeck</v>
      </c>
      <c r="L123" s="13">
        <v>940168</v>
      </c>
      <c r="M123" s="13">
        <v>456</v>
      </c>
      <c r="N123" s="13">
        <v>11262</v>
      </c>
      <c r="O123" s="18" t="s">
        <v>41</v>
      </c>
      <c r="P123" s="6">
        <v>40992.839189814811</v>
      </c>
      <c r="Q123" s="12"/>
      <c r="R123" s="17" t="s">
        <v>643</v>
      </c>
      <c r="S123" s="11" t="s">
        <v>644</v>
      </c>
      <c r="T123" s="12"/>
      <c r="U123" s="10" t="str">
        <f>HYPERLINK("https://pbs.twimg.com/profile_images/1016600645292511232/eYIkIK2s.jpg","View")</f>
        <v>View</v>
      </c>
    </row>
    <row r="124" spans="1:21" ht="51">
      <c r="A124" s="6">
        <v>43442.659444444449</v>
      </c>
      <c r="B124" s="7" t="str">
        <f>HYPERLINK("https://twitter.com/dangarcar","@dangarcar")</f>
        <v>@dangarcar</v>
      </c>
      <c r="C124" s="8" t="s">
        <v>486</v>
      </c>
      <c r="D124" s="9" t="s">
        <v>645</v>
      </c>
      <c r="E124" s="10" t="str">
        <f>HYPERLINK("https://twitter.com/dangarcar/status/1071416510160257025","1071416510160257025")</f>
        <v>1071416510160257025</v>
      </c>
      <c r="F124" s="12"/>
      <c r="G124" s="12"/>
      <c r="H124" s="12"/>
      <c r="I124" s="13">
        <v>0</v>
      </c>
      <c r="J124" s="13">
        <v>1</v>
      </c>
      <c r="K124" s="14" t="str">
        <f>HYPERLINK("http://twitter.com/download/android","Twitter for Android")</f>
        <v>Twitter for Android</v>
      </c>
      <c r="L124" s="13">
        <v>513</v>
      </c>
      <c r="M124" s="13">
        <v>1920</v>
      </c>
      <c r="N124" s="13">
        <v>6</v>
      </c>
      <c r="O124" s="15"/>
      <c r="P124" s="6">
        <v>40717.843356481484</v>
      </c>
      <c r="Q124" s="16" t="s">
        <v>427</v>
      </c>
      <c r="R124" s="17" t="s">
        <v>488</v>
      </c>
      <c r="S124" s="12"/>
      <c r="T124" s="12"/>
      <c r="U124" s="10" t="str">
        <f>HYPERLINK("https://pbs.twimg.com/profile_images/2664115641/a84dea9684dc3f8ec513fad65e031700.jpeg","View")</f>
        <v>View</v>
      </c>
    </row>
    <row r="125" spans="1:21" ht="20.399999999999999">
      <c r="A125" s="6">
        <v>43442.659050925926</v>
      </c>
      <c r="B125" s="7" t="str">
        <f>HYPERLINK("https://twitter.com/CristoFeliz1","@CristoFeliz1")</f>
        <v>@CristoFeliz1</v>
      </c>
      <c r="C125" s="8" t="s">
        <v>646</v>
      </c>
      <c r="D125" s="9" t="s">
        <v>400</v>
      </c>
      <c r="E125" s="10" t="str">
        <f>HYPERLINK("https://twitter.com/CristoFeliz1/status/1071416367771869187","1071416367771869187")</f>
        <v>1071416367771869187</v>
      </c>
      <c r="F125" s="11" t="s">
        <v>647</v>
      </c>
      <c r="G125" s="11" t="s">
        <v>648</v>
      </c>
      <c r="H125" s="12"/>
      <c r="I125" s="13">
        <v>0</v>
      </c>
      <c r="J125" s="13">
        <v>0</v>
      </c>
      <c r="K125" s="14" t="str">
        <f>HYPERLINK("https://dlvrit.com/","dlvr.it")</f>
        <v>dlvr.it</v>
      </c>
      <c r="L125" s="13">
        <v>7015</v>
      </c>
      <c r="M125" s="13">
        <v>7733</v>
      </c>
      <c r="N125" s="13">
        <v>561</v>
      </c>
      <c r="O125" s="15"/>
      <c r="P125" s="6">
        <v>41186.866469907407</v>
      </c>
      <c r="Q125" s="16" t="s">
        <v>630</v>
      </c>
      <c r="R125" s="17" t="s">
        <v>649</v>
      </c>
      <c r="S125" s="12"/>
      <c r="T125" s="12"/>
      <c r="U125" s="10" t="str">
        <f>HYPERLINK("https://pbs.twimg.com/profile_images/1002564938911703040/1Wvxy6Jm.jpg","View")</f>
        <v>View</v>
      </c>
    </row>
    <row r="126" spans="1:21" ht="20.399999999999999">
      <c r="A126" s="6">
        <v>43442.657731481479</v>
      </c>
      <c r="B126" s="7" t="str">
        <f>HYPERLINK("https://twitter.com/SPQR_21","@SPQR_21")</f>
        <v>@SPQR_21</v>
      </c>
      <c r="C126" s="8" t="s">
        <v>650</v>
      </c>
      <c r="D126" s="9" t="s">
        <v>651</v>
      </c>
      <c r="E126" s="10" t="str">
        <f>HYPERLINK("https://twitter.com/SPQR_21/status/1071415889780793351","1071415889780793351")</f>
        <v>1071415889780793351</v>
      </c>
      <c r="F126" s="11" t="s">
        <v>652</v>
      </c>
      <c r="G126" s="12"/>
      <c r="H126" s="12"/>
      <c r="I126" s="13">
        <v>0</v>
      </c>
      <c r="J126" s="13">
        <v>0</v>
      </c>
      <c r="K126" s="14" t="str">
        <f>HYPERLINK("http://twitter.com","Twitter Web Client")</f>
        <v>Twitter Web Client</v>
      </c>
      <c r="L126" s="13">
        <v>22</v>
      </c>
      <c r="M126" s="13">
        <v>22</v>
      </c>
      <c r="N126" s="13">
        <v>0</v>
      </c>
      <c r="O126" s="15"/>
      <c r="P126" s="6">
        <v>41874.762824074074</v>
      </c>
      <c r="Q126" s="16" t="s">
        <v>653</v>
      </c>
      <c r="R126" s="19"/>
      <c r="S126" s="12"/>
      <c r="T126" s="12"/>
      <c r="U126" s="10" t="str">
        <f>HYPERLINK("https://pbs.twimg.com/profile_images/1021433665576996865/eNOuJygi.jpg","View")</f>
        <v>View</v>
      </c>
    </row>
    <row r="127" spans="1:21" ht="40.799999999999997">
      <c r="A127" s="6">
        <v>43442.656319444446</v>
      </c>
      <c r="B127" s="7" t="str">
        <f>HYPERLINK("https://twitter.com/LlambrionLeon","@LlambrionLeon")</f>
        <v>@LlambrionLeon</v>
      </c>
      <c r="C127" s="8" t="s">
        <v>654</v>
      </c>
      <c r="D127" s="9" t="s">
        <v>655</v>
      </c>
      <c r="E127" s="10" t="str">
        <f>HYPERLINK("https://twitter.com/LlambrionLeon/status/1071415375336800257","1071415375336800257")</f>
        <v>1071415375336800257</v>
      </c>
      <c r="F127" s="11" t="s">
        <v>656</v>
      </c>
      <c r="G127" s="11" t="s">
        <v>657</v>
      </c>
      <c r="H127" s="12"/>
      <c r="I127" s="13">
        <v>5</v>
      </c>
      <c r="J127" s="13">
        <v>5</v>
      </c>
      <c r="K127" s="14" t="str">
        <f t="shared" ref="K127:K128" si="24">HYPERLINK("http://twitter.com/download/android","Twitter for Android")</f>
        <v>Twitter for Android</v>
      </c>
      <c r="L127" s="13">
        <v>4461</v>
      </c>
      <c r="M127" s="13">
        <v>4988</v>
      </c>
      <c r="N127" s="13">
        <v>189</v>
      </c>
      <c r="O127" s="15"/>
      <c r="P127" s="6">
        <v>40642.56821759259</v>
      </c>
      <c r="Q127" s="16" t="s">
        <v>658</v>
      </c>
      <c r="R127" s="17" t="s">
        <v>659</v>
      </c>
      <c r="S127" s="12"/>
      <c r="T127" s="12"/>
      <c r="U127" s="10" t="str">
        <f>HYPERLINK("https://pbs.twimg.com/profile_images/1044897397976051712/_omRve0N.jpg","View")</f>
        <v>View</v>
      </c>
    </row>
    <row r="128" spans="1:21" ht="30.6">
      <c r="A128" s="6">
        <v>43442.655624999999</v>
      </c>
      <c r="B128" s="7" t="str">
        <f>HYPERLINK("https://twitter.com/JesusSemperfree","@JesusSemperfree")</f>
        <v>@JesusSemperfree</v>
      </c>
      <c r="C128" s="8" t="s">
        <v>278</v>
      </c>
      <c r="D128" s="9" t="s">
        <v>660</v>
      </c>
      <c r="E128" s="10" t="str">
        <f>HYPERLINK("https://twitter.com/JesusSemperfree/status/1071415126572568577","1071415126572568577")</f>
        <v>1071415126572568577</v>
      </c>
      <c r="F128" s="11" t="s">
        <v>220</v>
      </c>
      <c r="G128" s="12"/>
      <c r="H128" s="12"/>
      <c r="I128" s="13">
        <v>0</v>
      </c>
      <c r="J128" s="13">
        <v>2</v>
      </c>
      <c r="K128" s="14" t="str">
        <f t="shared" si="24"/>
        <v>Twitter for Android</v>
      </c>
      <c r="L128" s="13">
        <v>853</v>
      </c>
      <c r="M128" s="13">
        <v>708</v>
      </c>
      <c r="N128" s="13">
        <v>3</v>
      </c>
      <c r="O128" s="15"/>
      <c r="P128" s="6">
        <v>41045.939050925925</v>
      </c>
      <c r="Q128" s="16" t="s">
        <v>280</v>
      </c>
      <c r="R128" s="17" t="s">
        <v>281</v>
      </c>
      <c r="S128" s="12"/>
      <c r="T128" s="12"/>
      <c r="U128" s="10" t="str">
        <f>HYPERLINK("https://pbs.twimg.com/profile_images/1071116382459322368/SoVyGyP7.jpg","View")</f>
        <v>View</v>
      </c>
    </row>
    <row r="129" spans="1:21" ht="20.399999999999999">
      <c r="A129" s="6">
        <v>43442.655555555553</v>
      </c>
      <c r="B129" s="7" t="str">
        <f>HYPERLINK("https://twitter.com/KARLAGINOCCHIO","@KARLAGINOCCHIO")</f>
        <v>@KARLAGINOCCHIO</v>
      </c>
      <c r="C129" s="8" t="s">
        <v>661</v>
      </c>
      <c r="D129" s="9" t="s">
        <v>662</v>
      </c>
      <c r="E129" s="10" t="str">
        <f>HYPERLINK("https://twitter.com/KARLAGINOCCHIO/status/1071415098462355457","1071415098462355457")</f>
        <v>1071415098462355457</v>
      </c>
      <c r="F129" s="11" t="s">
        <v>663</v>
      </c>
      <c r="G129" s="12"/>
      <c r="H129" s="12"/>
      <c r="I129" s="13">
        <v>0</v>
      </c>
      <c r="J129" s="13">
        <v>0</v>
      </c>
      <c r="K129" s="14" t="str">
        <f>HYPERLINK("http://www.facebook.com/twitter","Facebook")</f>
        <v>Facebook</v>
      </c>
      <c r="L129" s="13">
        <v>165</v>
      </c>
      <c r="M129" s="13">
        <v>124</v>
      </c>
      <c r="N129" s="13">
        <v>1</v>
      </c>
      <c r="O129" s="15"/>
      <c r="P129" s="6">
        <v>40258.770532407405</v>
      </c>
      <c r="Q129" s="16" t="s">
        <v>664</v>
      </c>
      <c r="R129" s="17" t="s">
        <v>665</v>
      </c>
      <c r="S129" s="12"/>
      <c r="T129" s="12"/>
      <c r="U129" s="10" t="str">
        <f>HYPERLINK("https://pbs.twimg.com/profile_images/378800000553184749/4ce45849557e67112209bd64975b8b8d.jpeg","View")</f>
        <v>View</v>
      </c>
    </row>
    <row r="130" spans="1:21" ht="40.799999999999997">
      <c r="A130" s="6">
        <v>43442.655405092592</v>
      </c>
      <c r="B130" s="7" t="str">
        <f>HYPERLINK("https://twitter.com/aalcant","@aalcant")</f>
        <v>@aalcant</v>
      </c>
      <c r="C130" s="8" t="s">
        <v>666</v>
      </c>
      <c r="D130" s="9" t="s">
        <v>667</v>
      </c>
      <c r="E130" s="10" t="str">
        <f>HYPERLINK("https://twitter.com/aalcant/status/1071415046624985089","1071415046624985089")</f>
        <v>1071415046624985089</v>
      </c>
      <c r="F130" s="11" t="s">
        <v>668</v>
      </c>
      <c r="G130" s="12"/>
      <c r="H130" s="12"/>
      <c r="I130" s="13">
        <v>0</v>
      </c>
      <c r="J130" s="13">
        <v>0</v>
      </c>
      <c r="K130" s="14" t="str">
        <f>HYPERLINK("http://twitter.com/#!/download/ipad","Twitter for iPad")</f>
        <v>Twitter for iPad</v>
      </c>
      <c r="L130" s="13">
        <v>1216</v>
      </c>
      <c r="M130" s="13">
        <v>1088</v>
      </c>
      <c r="N130" s="13">
        <v>13</v>
      </c>
      <c r="O130" s="15"/>
      <c r="P130" s="6">
        <v>40628.742569444446</v>
      </c>
      <c r="Q130" s="16" t="s">
        <v>200</v>
      </c>
      <c r="R130" s="17" t="s">
        <v>669</v>
      </c>
      <c r="S130" s="12"/>
      <c r="T130" s="12"/>
      <c r="U130" s="10" t="str">
        <f>HYPERLINK("https://pbs.twimg.com/profile_images/1029091279429357570/sSk4T2Mx.jpg","View")</f>
        <v>View</v>
      </c>
    </row>
    <row r="131" spans="1:21" ht="40.799999999999997">
      <c r="A131" s="6">
        <v>43442.655312499999</v>
      </c>
      <c r="B131" s="7" t="str">
        <f>HYPERLINK("https://twitter.com/PSOE","@PSOE")</f>
        <v>@PSOE</v>
      </c>
      <c r="C131" s="8" t="s">
        <v>622</v>
      </c>
      <c r="D131" s="9" t="s">
        <v>670</v>
      </c>
      <c r="E131" s="10" t="str">
        <f>HYPERLINK("https://twitter.com/PSOE/status/1071415012617580545","1071415012617580545")</f>
        <v>1071415012617580545</v>
      </c>
      <c r="F131" s="11" t="s">
        <v>269</v>
      </c>
      <c r="G131" s="12"/>
      <c r="H131" s="12"/>
      <c r="I131" s="13">
        <v>81</v>
      </c>
      <c r="J131" s="13">
        <v>88</v>
      </c>
      <c r="K131" s="14" t="str">
        <f>HYPERLINK("http://twitter.com/download/iphone","Twitter for iPhone")</f>
        <v>Twitter for iPhone</v>
      </c>
      <c r="L131" s="13">
        <v>639302</v>
      </c>
      <c r="M131" s="13">
        <v>13685</v>
      </c>
      <c r="N131" s="13">
        <v>5163</v>
      </c>
      <c r="O131" s="18" t="s">
        <v>41</v>
      </c>
      <c r="P131" s="6">
        <v>39990.450486111113</v>
      </c>
      <c r="Q131" s="16" t="s">
        <v>60</v>
      </c>
      <c r="R131" s="17" t="s">
        <v>628</v>
      </c>
      <c r="S131" s="11" t="s">
        <v>629</v>
      </c>
      <c r="T131" s="12"/>
      <c r="U131" s="10" t="str">
        <f>HYPERLINK("https://pbs.twimg.com/profile_images/1053528737000710144/n2rmuZ1o.jpg","View")</f>
        <v>View</v>
      </c>
    </row>
    <row r="132" spans="1:21" ht="20.399999999999999">
      <c r="A132" s="6">
        <v>43442.655312499999</v>
      </c>
      <c r="B132" s="7" t="str">
        <f>HYPERLINK("https://twitter.com/ramiro_cebral","@ramiro_cebral")</f>
        <v>@ramiro_cebral</v>
      </c>
      <c r="C132" s="8" t="s">
        <v>671</v>
      </c>
      <c r="D132" s="9" t="s">
        <v>672</v>
      </c>
      <c r="E132" s="10" t="str">
        <f>HYPERLINK("https://twitter.com/ramiro_cebral/status/1071415010872700929","1071415010872700929")</f>
        <v>1071415010872700929</v>
      </c>
      <c r="F132" s="12"/>
      <c r="G132" s="12"/>
      <c r="H132" s="12"/>
      <c r="I132" s="13">
        <v>0</v>
      </c>
      <c r="J132" s="13">
        <v>0</v>
      </c>
      <c r="K132" s="14" t="str">
        <f>HYPERLINK("http://twitter.com/download/android","Twitter for Android")</f>
        <v>Twitter for Android</v>
      </c>
      <c r="L132" s="13">
        <v>20</v>
      </c>
      <c r="M132" s="13">
        <v>61</v>
      </c>
      <c r="N132" s="13">
        <v>0</v>
      </c>
      <c r="O132" s="15"/>
      <c r="P132" s="6">
        <v>42324.79351851852</v>
      </c>
      <c r="Q132" s="16" t="s">
        <v>673</v>
      </c>
      <c r="R132" s="19"/>
      <c r="S132" s="12"/>
      <c r="T132" s="12"/>
      <c r="U132" s="10" t="str">
        <f>HYPERLINK("https://pbs.twimg.com/profile_images/892063689771286528/5XjWJjud.jpg","View")</f>
        <v>View</v>
      </c>
    </row>
    <row r="133" spans="1:21" ht="51">
      <c r="A133" s="6">
        <v>43442.655115740738</v>
      </c>
      <c r="B133" s="7" t="str">
        <f>HYPERLINK("https://twitter.com/mariaRo93795987","@mariaRo93795987")</f>
        <v>@mariaRo93795987</v>
      </c>
      <c r="C133" s="8" t="s">
        <v>674</v>
      </c>
      <c r="D133" s="9" t="s">
        <v>675</v>
      </c>
      <c r="E133" s="10" t="str">
        <f>HYPERLINK("https://twitter.com/mariaRo93795987/status/1071414942593634305","1071414942593634305")</f>
        <v>1071414942593634305</v>
      </c>
      <c r="F133" s="12"/>
      <c r="G133" s="12"/>
      <c r="H133" s="12"/>
      <c r="I133" s="13">
        <v>0</v>
      </c>
      <c r="J133" s="13">
        <v>0</v>
      </c>
      <c r="K133" s="14" t="str">
        <f>HYPERLINK("http://twitter.com/download/iphone","Twitter for iPhone")</f>
        <v>Twitter for iPhone</v>
      </c>
      <c r="L133" s="13">
        <v>29</v>
      </c>
      <c r="M133" s="13">
        <v>94</v>
      </c>
      <c r="N133" s="13">
        <v>0</v>
      </c>
      <c r="O133" s="15"/>
      <c r="P133" s="6">
        <v>43401.312731481477</v>
      </c>
      <c r="Q133" s="16" t="s">
        <v>676</v>
      </c>
      <c r="R133" s="19"/>
      <c r="S133" s="12"/>
      <c r="T133" s="12"/>
      <c r="U133" s="10" t="str">
        <f>HYPERLINK("https://pbs.twimg.com/profile_images/1056435449986736133/ONRsFRmr.jpg","View")</f>
        <v>View</v>
      </c>
    </row>
    <row r="134" spans="1:21" ht="91.8">
      <c r="A134" s="6">
        <v>43442.654942129629</v>
      </c>
      <c r="B134" s="7" t="str">
        <f>HYPERLINK("https://twitter.com/Romi9432","@Romi9432")</f>
        <v>@Romi9432</v>
      </c>
      <c r="C134" s="8" t="s">
        <v>677</v>
      </c>
      <c r="D134" s="9" t="s">
        <v>678</v>
      </c>
      <c r="E134" s="10" t="str">
        <f>HYPERLINK("https://twitter.com/Romi9432/status/1071414876512415744","1071414876512415744")</f>
        <v>1071414876512415744</v>
      </c>
      <c r="F134" s="16" t="s">
        <v>679</v>
      </c>
      <c r="G134" s="12"/>
      <c r="H134" s="12"/>
      <c r="I134" s="13">
        <v>1</v>
      </c>
      <c r="J134" s="13">
        <v>1</v>
      </c>
      <c r="K134" s="14" t="str">
        <f>HYPERLINK("http://twitter.com/download/android","Twitter for Android")</f>
        <v>Twitter for Android</v>
      </c>
      <c r="L134" s="13">
        <v>334</v>
      </c>
      <c r="M134" s="13">
        <v>671</v>
      </c>
      <c r="N134" s="13">
        <v>1</v>
      </c>
      <c r="O134" s="15"/>
      <c r="P134" s="6">
        <v>43006.846956018519</v>
      </c>
      <c r="Q134" s="12"/>
      <c r="R134" s="17" t="s">
        <v>680</v>
      </c>
      <c r="S134" s="12"/>
      <c r="T134" s="12"/>
      <c r="U134" s="10" t="str">
        <f>HYPERLINK("https://pbs.twimg.com/profile_images/913537131666198529/Ie1FPNUT.jpg","View")</f>
        <v>View</v>
      </c>
    </row>
    <row r="135" spans="1:21" ht="20.399999999999999">
      <c r="A135" s="6">
        <v>43442.654108796298</v>
      </c>
      <c r="B135" s="7" t="str">
        <f>HYPERLINK("https://twitter.com/mariacasgar","@mariacasgar")</f>
        <v>@mariacasgar</v>
      </c>
      <c r="C135" s="8" t="s">
        <v>682</v>
      </c>
      <c r="D135" s="9" t="s">
        <v>651</v>
      </c>
      <c r="E135" s="10" t="str">
        <f>HYPERLINK("https://twitter.com/mariacasgar/status/1071414574933528577","1071414574933528577")</f>
        <v>1071414574933528577</v>
      </c>
      <c r="F135" s="11" t="s">
        <v>25</v>
      </c>
      <c r="G135" s="12"/>
      <c r="H135" s="12"/>
      <c r="I135" s="13">
        <v>0</v>
      </c>
      <c r="J135" s="13">
        <v>0</v>
      </c>
      <c r="K135" s="14" t="str">
        <f>HYPERLINK("http://twitter.com","Twitter Web Client")</f>
        <v>Twitter Web Client</v>
      </c>
      <c r="L135" s="13">
        <v>1723</v>
      </c>
      <c r="M135" s="13">
        <v>1844</v>
      </c>
      <c r="N135" s="13">
        <v>26</v>
      </c>
      <c r="O135" s="15"/>
      <c r="P135" s="6">
        <v>41056.092916666668</v>
      </c>
      <c r="Q135" s="12"/>
      <c r="R135" s="17" t="s">
        <v>683</v>
      </c>
      <c r="S135" s="12"/>
      <c r="T135" s="12"/>
      <c r="U135" s="10" t="str">
        <f>HYPERLINK("https://pbs.twimg.com/profile_images/1009151242151620608/qZ8O3VIa.jpg","View")</f>
        <v>View</v>
      </c>
    </row>
    <row r="136" spans="1:21" ht="20.399999999999999">
      <c r="A136" s="6">
        <v>43442.653946759259</v>
      </c>
      <c r="B136" s="7" t="str">
        <f>HYPERLINK("https://twitter.com/fisioalf","@fisioalf")</f>
        <v>@fisioalf</v>
      </c>
      <c r="C136" s="8" t="s">
        <v>684</v>
      </c>
      <c r="D136" s="9" t="s">
        <v>685</v>
      </c>
      <c r="E136" s="10" t="str">
        <f>HYPERLINK("https://twitter.com/fisioalf/status/1071414517878398976","1071414517878398976")</f>
        <v>1071414517878398976</v>
      </c>
      <c r="F136" s="11" t="s">
        <v>652</v>
      </c>
      <c r="G136" s="12"/>
      <c r="H136" s="12"/>
      <c r="I136" s="13">
        <v>0</v>
      </c>
      <c r="J136" s="13">
        <v>0</v>
      </c>
      <c r="K136" s="14" t="str">
        <f>HYPERLINK("http://twitter.com/download/android","Twitter for Android")</f>
        <v>Twitter for Android</v>
      </c>
      <c r="L136" s="13">
        <v>94</v>
      </c>
      <c r="M136" s="13">
        <v>379</v>
      </c>
      <c r="N136" s="13">
        <v>2</v>
      </c>
      <c r="O136" s="15"/>
      <c r="P136" s="6">
        <v>40360.45584490741</v>
      </c>
      <c r="Q136" s="16" t="s">
        <v>686</v>
      </c>
      <c r="R136" s="19"/>
      <c r="S136" s="12"/>
      <c r="T136" s="12"/>
      <c r="U136" s="10" t="str">
        <f>HYPERLINK("https://pbs.twimg.com/profile_images/1003419038809313281/lbNbXeth.jpg","View")</f>
        <v>View</v>
      </c>
    </row>
    <row r="137" spans="1:21" ht="30.6">
      <c r="A137" s="6">
        <v>43442.653101851851</v>
      </c>
      <c r="B137" s="7" t="str">
        <f>HYPERLINK("https://twitter.com/RetogenesC","@RetogenesC")</f>
        <v>@RetogenesC</v>
      </c>
      <c r="C137" s="8" t="s">
        <v>687</v>
      </c>
      <c r="D137" s="9" t="s">
        <v>688</v>
      </c>
      <c r="E137" s="10" t="str">
        <f>HYPERLINK("https://twitter.com/RetogenesC/status/1071414210071023618","1071414210071023618")</f>
        <v>1071414210071023618</v>
      </c>
      <c r="F137" s="11" t="s">
        <v>689</v>
      </c>
      <c r="G137" s="12"/>
      <c r="H137" s="12"/>
      <c r="I137" s="13">
        <v>0</v>
      </c>
      <c r="J137" s="13">
        <v>0</v>
      </c>
      <c r="K137" s="14" t="str">
        <f t="shared" ref="K137:K138" si="25">HYPERLINK("http://twitter.com","Twitter Web Client")</f>
        <v>Twitter Web Client</v>
      </c>
      <c r="L137" s="13">
        <v>567</v>
      </c>
      <c r="M137" s="13">
        <v>814</v>
      </c>
      <c r="N137" s="13">
        <v>1</v>
      </c>
      <c r="O137" s="15"/>
      <c r="P137" s="6">
        <v>43402.911990740744</v>
      </c>
      <c r="Q137" s="16" t="s">
        <v>690</v>
      </c>
      <c r="R137" s="17" t="s">
        <v>691</v>
      </c>
      <c r="S137" s="12"/>
      <c r="T137" s="12"/>
      <c r="U137" s="10" t="str">
        <f>HYPERLINK("https://pbs.twimg.com/profile_images/1057387412169674753/70xRfk8A.jpg","View")</f>
        <v>View</v>
      </c>
    </row>
    <row r="138" spans="1:21" ht="51">
      <c r="A138" s="6">
        <v>43442.652881944443</v>
      </c>
      <c r="B138" s="7" t="str">
        <f>HYPERLINK("https://twitter.com/santiagocg64","@santiagocg64")</f>
        <v>@santiagocg64</v>
      </c>
      <c r="C138" s="8" t="s">
        <v>692</v>
      </c>
      <c r="D138" s="9" t="s">
        <v>693</v>
      </c>
      <c r="E138" s="10" t="str">
        <f>HYPERLINK("https://twitter.com/santiagocg64/status/1071414133042618368","1071414133042618368")</f>
        <v>1071414133042618368</v>
      </c>
      <c r="F138" s="12"/>
      <c r="G138" s="12"/>
      <c r="H138" s="12"/>
      <c r="I138" s="13">
        <v>0</v>
      </c>
      <c r="J138" s="13">
        <v>0</v>
      </c>
      <c r="K138" s="14" t="str">
        <f t="shared" si="25"/>
        <v>Twitter Web Client</v>
      </c>
      <c r="L138" s="13">
        <v>1314</v>
      </c>
      <c r="M138" s="13">
        <v>2396</v>
      </c>
      <c r="N138" s="13">
        <v>31</v>
      </c>
      <c r="O138" s="15"/>
      <c r="P138" s="6">
        <v>40633.759930555556</v>
      </c>
      <c r="Q138" s="16" t="s">
        <v>60</v>
      </c>
      <c r="R138" s="17" t="s">
        <v>694</v>
      </c>
      <c r="S138" s="11" t="s">
        <v>695</v>
      </c>
      <c r="T138" s="12"/>
      <c r="U138" s="10" t="str">
        <f>HYPERLINK("https://pbs.twimg.com/profile_images/692411070451965952/bVHkCViz.jpg","View")</f>
        <v>View</v>
      </c>
    </row>
    <row r="139" spans="1:21" ht="40.799999999999997">
      <c r="A139" s="6">
        <v>43442.652858796297</v>
      </c>
      <c r="B139" s="7" t="str">
        <f>HYPERLINK("https://twitter.com/lextresabogados","@lextresabogados")</f>
        <v>@lextresabogados</v>
      </c>
      <c r="C139" s="8" t="s">
        <v>226</v>
      </c>
      <c r="D139" s="9" t="s">
        <v>400</v>
      </c>
      <c r="E139" s="10" t="str">
        <f>HYPERLINK("https://twitter.com/lextresabogados/status/1071414121294389248","1071414121294389248")</f>
        <v>1071414121294389248</v>
      </c>
      <c r="F139" s="11" t="s">
        <v>697</v>
      </c>
      <c r="G139" s="12"/>
      <c r="H139" s="12"/>
      <c r="I139" s="13">
        <v>1</v>
      </c>
      <c r="J139" s="13">
        <v>0</v>
      </c>
      <c r="K139" s="14" t="str">
        <f>HYPERLINK("http://35.180.36.179","botize nueva")</f>
        <v>botize nueva</v>
      </c>
      <c r="L139" s="13">
        <v>2912</v>
      </c>
      <c r="M139" s="13">
        <v>3525</v>
      </c>
      <c r="N139" s="13">
        <v>26</v>
      </c>
      <c r="O139" s="15"/>
      <c r="P139" s="6">
        <v>42880.770949074074</v>
      </c>
      <c r="Q139" s="16" t="s">
        <v>230</v>
      </c>
      <c r="R139" s="17" t="s">
        <v>231</v>
      </c>
      <c r="S139" s="11" t="s">
        <v>232</v>
      </c>
      <c r="T139" s="12"/>
      <c r="U139" s="10" t="str">
        <f>HYPERLINK("https://pbs.twimg.com/profile_images/1068056978679898113/YnjKwiVy.jpg","View")</f>
        <v>View</v>
      </c>
    </row>
    <row r="140" spans="1:21" ht="30.6">
      <c r="A140" s="6">
        <v>43442.652627314819</v>
      </c>
      <c r="B140" s="7" t="str">
        <f>HYPERLINK("https://twitter.com/WillyTolerdoo","@WillyTolerdoo")</f>
        <v>@WillyTolerdoo</v>
      </c>
      <c r="C140" s="8" t="s">
        <v>354</v>
      </c>
      <c r="D140" s="9" t="s">
        <v>698</v>
      </c>
      <c r="E140" s="10" t="str">
        <f>HYPERLINK("https://twitter.com/WillyTolerdoo/status/1071414039782350849","1071414039782350849")</f>
        <v>1071414039782350849</v>
      </c>
      <c r="F140" s="12"/>
      <c r="G140" s="12"/>
      <c r="H140" s="12"/>
      <c r="I140" s="13">
        <v>9</v>
      </c>
      <c r="J140" s="13">
        <v>56</v>
      </c>
      <c r="K140" s="14" t="str">
        <f t="shared" ref="K140:K141" si="26">HYPERLINK("http://twitter.com","Twitter Web Client")</f>
        <v>Twitter Web Client</v>
      </c>
      <c r="L140" s="13">
        <v>50123</v>
      </c>
      <c r="M140" s="13">
        <v>2061</v>
      </c>
      <c r="N140" s="13">
        <v>307</v>
      </c>
      <c r="O140" s="15"/>
      <c r="P140" s="6">
        <v>42038.625081018516</v>
      </c>
      <c r="Q140" s="16" t="s">
        <v>360</v>
      </c>
      <c r="R140" s="17" t="s">
        <v>361</v>
      </c>
      <c r="S140" s="12"/>
      <c r="T140" s="12"/>
      <c r="U140" s="10" t="str">
        <f>HYPERLINK("https://pbs.twimg.com/profile_images/581839453527941120/GGYbnx0T.jpg","View")</f>
        <v>View</v>
      </c>
    </row>
    <row r="141" spans="1:21" ht="61.2">
      <c r="A141" s="6">
        <v>43442.652627314819</v>
      </c>
      <c r="B141" s="7" t="str">
        <f>HYPERLINK("https://twitter.com/barnavictor","@barnavictor")</f>
        <v>@barnavictor</v>
      </c>
      <c r="C141" s="8" t="s">
        <v>699</v>
      </c>
      <c r="D141" s="9" t="s">
        <v>700</v>
      </c>
      <c r="E141" s="10" t="str">
        <f>HYPERLINK("https://twitter.com/barnavictor/status/1071414037655797760","1071414037655797760")</f>
        <v>1071414037655797760</v>
      </c>
      <c r="F141" s="12"/>
      <c r="G141" s="12"/>
      <c r="H141" s="12"/>
      <c r="I141" s="13">
        <v>0</v>
      </c>
      <c r="J141" s="13">
        <v>0</v>
      </c>
      <c r="K141" s="14" t="str">
        <f t="shared" si="26"/>
        <v>Twitter Web Client</v>
      </c>
      <c r="L141" s="13">
        <v>1785</v>
      </c>
      <c r="M141" s="13">
        <v>1890</v>
      </c>
      <c r="N141" s="13">
        <v>14</v>
      </c>
      <c r="O141" s="15"/>
      <c r="P141" s="6">
        <v>41384.688576388886</v>
      </c>
      <c r="Q141" s="12"/>
      <c r="R141" s="19"/>
      <c r="S141" s="12"/>
      <c r="T141" s="12"/>
      <c r="U141" s="10" t="str">
        <f>HYPERLINK("https://pbs.twimg.com/profile_images/3548226529/dc39c6caf9d8e0cdc9d050051538906d.jpeg","View")</f>
        <v>View</v>
      </c>
    </row>
    <row r="142" spans="1:21" ht="40.799999999999997">
      <c r="A142" s="6">
        <v>43442.650555555556</v>
      </c>
      <c r="B142" s="7" t="str">
        <f>HYPERLINK("https://twitter.com/20m","@20m")</f>
        <v>@20m</v>
      </c>
      <c r="C142" s="20" t="s">
        <v>703</v>
      </c>
      <c r="D142" s="9" t="s">
        <v>400</v>
      </c>
      <c r="E142" s="10" t="str">
        <f>HYPERLINK("https://twitter.com/20m/status/1071413287194161152","1071413287194161152")</f>
        <v>1071413287194161152</v>
      </c>
      <c r="F142" s="11" t="s">
        <v>697</v>
      </c>
      <c r="G142" s="12"/>
      <c r="H142" s="12"/>
      <c r="I142" s="13">
        <v>14</v>
      </c>
      <c r="J142" s="13">
        <v>23</v>
      </c>
      <c r="K142" s="14" t="str">
        <f>HYPERLINK("http://dogtrack.es","DogTrack_Oficial")</f>
        <v>DogTrack_Oficial</v>
      </c>
      <c r="L142" s="13">
        <v>1353523</v>
      </c>
      <c r="M142" s="13">
        <v>51093</v>
      </c>
      <c r="N142" s="13">
        <v>14084</v>
      </c>
      <c r="O142" s="18" t="s">
        <v>41</v>
      </c>
      <c r="P142" s="6">
        <v>39917.485891203702</v>
      </c>
      <c r="Q142" s="16" t="s">
        <v>119</v>
      </c>
      <c r="R142" s="17" t="s">
        <v>704</v>
      </c>
      <c r="S142" s="11" t="s">
        <v>705</v>
      </c>
      <c r="T142" s="12"/>
      <c r="U142" s="10" t="str">
        <f>HYPERLINK("https://pbs.twimg.com/profile_images/1013670314285420544/gwCE6EJr.jpg","View")</f>
        <v>View</v>
      </c>
    </row>
    <row r="143" spans="1:21" ht="30.6">
      <c r="A143" s="6">
        <v>43442.650381944448</v>
      </c>
      <c r="B143" s="7" t="str">
        <f>HYPERLINK("https://twitter.com/LibertadFm107","@LibertadFm107")</f>
        <v>@LibertadFm107</v>
      </c>
      <c r="C143" s="8" t="s">
        <v>706</v>
      </c>
      <c r="D143" s="9" t="s">
        <v>707</v>
      </c>
      <c r="E143" s="10" t="str">
        <f>HYPERLINK("https://twitter.com/LibertadFm107/status/1071413223881089024","1071413223881089024")</f>
        <v>1071413223881089024</v>
      </c>
      <c r="F143" s="11" t="s">
        <v>709</v>
      </c>
      <c r="G143" s="12"/>
      <c r="H143" s="12"/>
      <c r="I143" s="13">
        <v>0</v>
      </c>
      <c r="J143" s="13">
        <v>1</v>
      </c>
      <c r="K143" s="14" t="str">
        <f>HYPERLINK("http://www.facebook.com/twitter","Facebook")</f>
        <v>Facebook</v>
      </c>
      <c r="L143" s="13">
        <v>31240</v>
      </c>
      <c r="M143" s="13">
        <v>1214</v>
      </c>
      <c r="N143" s="13">
        <v>330</v>
      </c>
      <c r="O143" s="15"/>
      <c r="P143" s="6">
        <v>40924.919895833329</v>
      </c>
      <c r="Q143" s="16" t="s">
        <v>60</v>
      </c>
      <c r="R143" s="17" t="s">
        <v>711</v>
      </c>
      <c r="S143" s="11" t="s">
        <v>712</v>
      </c>
      <c r="T143" s="12"/>
      <c r="U143" s="10" t="str">
        <f>HYPERLINK("https://pbs.twimg.com/profile_images/1059761011580944384/SJ-nEtNI.jpg","View")</f>
        <v>View</v>
      </c>
    </row>
    <row r="144" spans="1:21" ht="20.399999999999999">
      <c r="A144" s="6">
        <v>43442.650254629625</v>
      </c>
      <c r="B144" s="7" t="str">
        <f>HYPERLINK("https://twitter.com/HotDog_News","@HotDog_News")</f>
        <v>@HotDog_News</v>
      </c>
      <c r="C144" s="8" t="s">
        <v>713</v>
      </c>
      <c r="D144" s="9" t="s">
        <v>714</v>
      </c>
      <c r="E144" s="10" t="str">
        <f>HYPERLINK("https://twitter.com/HotDog_News/status/1071413180172242946","1071413180172242946")</f>
        <v>1071413180172242946</v>
      </c>
      <c r="F144" s="11" t="s">
        <v>715</v>
      </c>
      <c r="G144" s="11" t="s">
        <v>716</v>
      </c>
      <c r="H144" s="12"/>
      <c r="I144" s="13">
        <v>0</v>
      </c>
      <c r="J144" s="13">
        <v>0</v>
      </c>
      <c r="K144" s="14" t="str">
        <f>HYPERLINK("http://epmundo.com","Tuiteo TOP EP (3)")</f>
        <v>Tuiteo TOP EP (3)</v>
      </c>
      <c r="L144" s="13">
        <v>19769</v>
      </c>
      <c r="M144" s="13">
        <v>19981</v>
      </c>
      <c r="N144" s="13">
        <v>80</v>
      </c>
      <c r="O144" s="15"/>
      <c r="P144" s="6">
        <v>42104.009953703702</v>
      </c>
      <c r="Q144" s="12"/>
      <c r="R144" s="17" t="s">
        <v>717</v>
      </c>
      <c r="S144" s="12"/>
      <c r="T144" s="12"/>
      <c r="U144" s="10" t="str">
        <f>HYPERLINK("https://pbs.twimg.com/profile_images/912774466077364224/ZpIz23zG.jpg","View")</f>
        <v>View</v>
      </c>
    </row>
    <row r="145" spans="1:21" ht="20.399999999999999">
      <c r="A145" s="6">
        <v>43442.650138888886</v>
      </c>
      <c r="B145" s="7" t="str">
        <f>HYPERLINK("https://twitter.com/bravospalante","@bravospalante")</f>
        <v>@bravospalante</v>
      </c>
      <c r="C145" s="8" t="s">
        <v>718</v>
      </c>
      <c r="D145" s="9" t="s">
        <v>719</v>
      </c>
      <c r="E145" s="10" t="str">
        <f>HYPERLINK("https://twitter.com/bravospalante/status/1071413138015338497","1071413138015338497")</f>
        <v>1071413138015338497</v>
      </c>
      <c r="F145" s="12"/>
      <c r="G145" s="12"/>
      <c r="H145" s="12"/>
      <c r="I145" s="13">
        <v>0</v>
      </c>
      <c r="J145" s="13">
        <v>0</v>
      </c>
      <c r="K145" s="14" t="str">
        <f>HYPERLINK("https://ifttt.com","IFTTT")</f>
        <v>IFTTT</v>
      </c>
      <c r="L145" s="13">
        <v>59</v>
      </c>
      <c r="M145" s="13">
        <v>214</v>
      </c>
      <c r="N145" s="13">
        <v>0</v>
      </c>
      <c r="O145" s="15"/>
      <c r="P145" s="6">
        <v>42894.9847337963</v>
      </c>
      <c r="Q145" s="12"/>
      <c r="R145" s="17" t="s">
        <v>720</v>
      </c>
      <c r="S145" s="12"/>
      <c r="T145" s="12"/>
      <c r="U145" s="10" t="str">
        <f>HYPERLINK("https://pbs.twimg.com/profile_images/915053690494517248/y_iFqEks.jpg","View")</f>
        <v>View</v>
      </c>
    </row>
    <row r="146" spans="1:21" ht="40.799999999999997">
      <c r="A146" s="6">
        <v>43442.647997685184</v>
      </c>
      <c r="B146" s="7" t="str">
        <f>HYPERLINK("https://twitter.com/HAUPOLD","@HAUPOLD")</f>
        <v>@HAUPOLD</v>
      </c>
      <c r="C146" s="8" t="s">
        <v>721</v>
      </c>
      <c r="D146" s="9" t="s">
        <v>158</v>
      </c>
      <c r="E146" s="10" t="str">
        <f>HYPERLINK("https://twitter.com/HAUPOLD/status/1071412359422300160","1071412359422300160")</f>
        <v>1071412359422300160</v>
      </c>
      <c r="F146" s="11" t="s">
        <v>722</v>
      </c>
      <c r="G146" s="11" t="s">
        <v>723</v>
      </c>
      <c r="H146" s="12"/>
      <c r="I146" s="13">
        <v>0</v>
      </c>
      <c r="J146" s="13">
        <v>0</v>
      </c>
      <c r="K146" s="14" t="str">
        <f>HYPERLINK("https://dlvrit.com/","dlvr.it")</f>
        <v>dlvr.it</v>
      </c>
      <c r="L146" s="13">
        <v>23789</v>
      </c>
      <c r="M146" s="13">
        <v>10291</v>
      </c>
      <c r="N146" s="13">
        <v>321</v>
      </c>
      <c r="O146" s="15"/>
      <c r="P146" s="6">
        <v>40096.760162037041</v>
      </c>
      <c r="Q146" s="16" t="s">
        <v>724</v>
      </c>
      <c r="R146" s="17" t="s">
        <v>725</v>
      </c>
      <c r="S146" s="11" t="s">
        <v>726</v>
      </c>
      <c r="T146" s="12"/>
      <c r="U146" s="10" t="str">
        <f>HYPERLINK("https://pbs.twimg.com/profile_images/474273362/Antonio_Romero-Haupold_Caballero.jpg","View")</f>
        <v>View</v>
      </c>
    </row>
    <row r="147" spans="1:21" ht="40.799999999999997">
      <c r="A147" s="6">
        <v>43442.647962962961</v>
      </c>
      <c r="B147" s="7" t="str">
        <f>HYPERLINK("https://twitter.com/vozdecatalanes","@vozdecatalanes")</f>
        <v>@vozdecatalanes</v>
      </c>
      <c r="C147" s="8" t="s">
        <v>727</v>
      </c>
      <c r="D147" s="9" t="s">
        <v>728</v>
      </c>
      <c r="E147" s="10" t="str">
        <f>HYPERLINK("https://twitter.com/vozdecatalanes/status/1071412347070234625","1071412347070234625")</f>
        <v>1071412347070234625</v>
      </c>
      <c r="F147" s="12"/>
      <c r="G147" s="12"/>
      <c r="H147" s="12"/>
      <c r="I147" s="13">
        <v>3</v>
      </c>
      <c r="J147" s="13">
        <v>7</v>
      </c>
      <c r="K147" s="14" t="str">
        <f>HYPERLINK("http://twitter.com/download/android","Twitter for Android")</f>
        <v>Twitter for Android</v>
      </c>
      <c r="L147" s="13">
        <v>4512</v>
      </c>
      <c r="M147" s="13">
        <v>3243</v>
      </c>
      <c r="N147" s="13">
        <v>57</v>
      </c>
      <c r="O147" s="15"/>
      <c r="P147" s="6">
        <v>42406.067476851851</v>
      </c>
      <c r="Q147" s="16" t="s">
        <v>87</v>
      </c>
      <c r="R147" s="17" t="s">
        <v>729</v>
      </c>
      <c r="S147" s="12"/>
      <c r="T147" s="12"/>
      <c r="U147" s="10" t="str">
        <f>HYPERLINK("https://pbs.twimg.com/profile_images/725079750570573824/-Ja81_U1.jpg","View")</f>
        <v>View</v>
      </c>
    </row>
    <row r="148" spans="1:21" ht="30.6">
      <c r="A148" s="6">
        <v>43442.647951388892</v>
      </c>
      <c r="B148" s="7" t="str">
        <f>HYPERLINK("https://twitter.com/libertaddigital","@libertaddigital")</f>
        <v>@libertaddigital</v>
      </c>
      <c r="C148" s="8" t="s">
        <v>730</v>
      </c>
      <c r="D148" s="9" t="s">
        <v>731</v>
      </c>
      <c r="E148" s="10" t="str">
        <f>HYPERLINK("https://twitter.com/libertaddigital/status/1071412343349755904","1071412343349755904")</f>
        <v>1071412343349755904</v>
      </c>
      <c r="F148" s="11" t="s">
        <v>732</v>
      </c>
      <c r="G148" s="12"/>
      <c r="H148" s="12"/>
      <c r="I148" s="13">
        <v>43</v>
      </c>
      <c r="J148" s="13">
        <v>36</v>
      </c>
      <c r="K148" s="14" t="str">
        <f>HYPERLINK("https://dlvrit.com/","dlvr.it")</f>
        <v>dlvr.it</v>
      </c>
      <c r="L148" s="13">
        <v>126266</v>
      </c>
      <c r="M148" s="13">
        <v>562</v>
      </c>
      <c r="N148" s="13">
        <v>2379</v>
      </c>
      <c r="O148" s="18" t="s">
        <v>41</v>
      </c>
      <c r="P148" s="6">
        <v>39899.727141203708</v>
      </c>
      <c r="Q148" s="16" t="s">
        <v>200</v>
      </c>
      <c r="R148" s="17" t="s">
        <v>733</v>
      </c>
      <c r="S148" s="11" t="s">
        <v>734</v>
      </c>
      <c r="T148" s="12"/>
      <c r="U148" s="10" t="str">
        <f>HYPERLINK("https://pbs.twimg.com/profile_images/913700935603499008/ifTjXKGZ.jpg","View")</f>
        <v>View</v>
      </c>
    </row>
    <row r="149" spans="1:21" ht="20.399999999999999">
      <c r="A149" s="6">
        <v>43442.645057870366</v>
      </c>
      <c r="B149" s="7" t="str">
        <f>HYPERLINK("https://twitter.com/EP_Mundo","@EP_Mundo")</f>
        <v>@EP_Mundo</v>
      </c>
      <c r="C149" s="8" t="s">
        <v>735</v>
      </c>
      <c r="D149" s="9" t="s">
        <v>736</v>
      </c>
      <c r="E149" s="10" t="str">
        <f>HYPERLINK("https://twitter.com/EP_Mundo/status/1071411294450925568","1071411294450925568")</f>
        <v>1071411294450925568</v>
      </c>
      <c r="F149" s="11" t="s">
        <v>737</v>
      </c>
      <c r="G149" s="11" t="s">
        <v>738</v>
      </c>
      <c r="H149" s="12"/>
      <c r="I149" s="13">
        <v>0</v>
      </c>
      <c r="J149" s="13">
        <v>0</v>
      </c>
      <c r="K149" s="14" t="str">
        <f>HYPERLINK("http://epmundo.com","Tuiteo TOP EP (2)")</f>
        <v>Tuiteo TOP EP (2)</v>
      </c>
      <c r="L149" s="13">
        <v>510220</v>
      </c>
      <c r="M149" s="13">
        <v>301867</v>
      </c>
      <c r="N149" s="13">
        <v>1363</v>
      </c>
      <c r="O149" s="15"/>
      <c r="P149" s="6">
        <v>40203.223078703704</v>
      </c>
      <c r="Q149" s="12"/>
      <c r="R149" s="17" t="s">
        <v>739</v>
      </c>
      <c r="S149" s="11" t="s">
        <v>740</v>
      </c>
      <c r="T149" s="12"/>
      <c r="U149" s="10" t="str">
        <f>HYPERLINK("https://pbs.twimg.com/profile_images/958329583778099200/87-xiuzB.jpg","View")</f>
        <v>View</v>
      </c>
    </row>
    <row r="150" spans="1:21" ht="30.6">
      <c r="A150" s="6">
        <v>43442.644918981481</v>
      </c>
      <c r="B150" s="7" t="str">
        <f>HYPERLINK("https://twitter.com/ANTPODEMOS","@ANTPODEMOS")</f>
        <v>@ANTPODEMOS</v>
      </c>
      <c r="C150" s="8" t="s">
        <v>741</v>
      </c>
      <c r="D150" s="9" t="s">
        <v>742</v>
      </c>
      <c r="E150" s="10" t="str">
        <f>HYPERLINK("https://twitter.com/ANTPODEMOS/status/1071411246577127425","1071411246577127425")</f>
        <v>1071411246577127425</v>
      </c>
      <c r="F150" s="11" t="s">
        <v>743</v>
      </c>
      <c r="G150" s="12"/>
      <c r="H150" s="12"/>
      <c r="I150" s="13">
        <v>2</v>
      </c>
      <c r="J150" s="13">
        <v>2</v>
      </c>
      <c r="K150" s="14" t="str">
        <f>HYPERLINK("http://www.facebook.com/twitter","Facebook")</f>
        <v>Facebook</v>
      </c>
      <c r="L150" s="13">
        <v>5585</v>
      </c>
      <c r="M150" s="13">
        <v>426</v>
      </c>
      <c r="N150" s="13">
        <v>58</v>
      </c>
      <c r="O150" s="15"/>
      <c r="P150" s="6">
        <v>41956.204837962963</v>
      </c>
      <c r="Q150" s="16" t="s">
        <v>60</v>
      </c>
      <c r="R150" s="17" t="s">
        <v>744</v>
      </c>
      <c r="S150" s="11" t="s">
        <v>745</v>
      </c>
      <c r="T150" s="12"/>
      <c r="U150" s="10" t="str">
        <f>HYPERLINK("https://pbs.twimg.com/profile_images/952681544224854017/rVAhotfW.jpg","View")</f>
        <v>View</v>
      </c>
    </row>
    <row r="151" spans="1:21" ht="40.799999999999997">
      <c r="A151" s="6">
        <v>43442.643287037034</v>
      </c>
      <c r="B151" s="7" t="str">
        <f>HYPERLINK("https://twitter.com/RealSportin9","@RealSportin9")</f>
        <v>@RealSportin9</v>
      </c>
      <c r="C151" s="8" t="s">
        <v>746</v>
      </c>
      <c r="D151" s="9" t="s">
        <v>747</v>
      </c>
      <c r="E151" s="10" t="str">
        <f>HYPERLINK("https://twitter.com/RealSportin9/status/1071410655301914629","1071410655301914629")</f>
        <v>1071410655301914629</v>
      </c>
      <c r="F151" s="11" t="s">
        <v>748</v>
      </c>
      <c r="G151" s="12"/>
      <c r="H151" s="12"/>
      <c r="I151" s="13">
        <v>0</v>
      </c>
      <c r="J151" s="13">
        <v>0</v>
      </c>
      <c r="K151" s="14" t="str">
        <f>HYPERLINK("http://twitter.com/download/android","Twitter for Android")</f>
        <v>Twitter for Android</v>
      </c>
      <c r="L151" s="13">
        <v>196</v>
      </c>
      <c r="M151" s="13">
        <v>35</v>
      </c>
      <c r="N151" s="13">
        <v>3</v>
      </c>
      <c r="O151" s="15"/>
      <c r="P151" s="6">
        <v>42943.783993055556</v>
      </c>
      <c r="Q151" s="16" t="s">
        <v>749</v>
      </c>
      <c r="R151" s="17" t="s">
        <v>750</v>
      </c>
      <c r="S151" s="12"/>
      <c r="T151" s="12"/>
      <c r="U151" s="10" t="str">
        <f>HYPERLINK("https://pbs.twimg.com/profile_images/995685875215486979/UDOWEQda.jpg","View")</f>
        <v>View</v>
      </c>
    </row>
    <row r="152" spans="1:21" ht="40.799999999999997">
      <c r="A152" s="6">
        <v>43442.642430555556</v>
      </c>
      <c r="B152" s="7" t="str">
        <f>HYPERLINK("https://twitter.com/jatirado","@jatirado")</f>
        <v>@jatirado</v>
      </c>
      <c r="C152" s="8" t="s">
        <v>196</v>
      </c>
      <c r="D152" s="9" t="s">
        <v>400</v>
      </c>
      <c r="E152" s="10" t="str">
        <f>HYPERLINK("https://twitter.com/jatirado/status/1071410343660859392","1071410343660859392")</f>
        <v>1071410343660859392</v>
      </c>
      <c r="F152" s="11" t="s">
        <v>751</v>
      </c>
      <c r="G152" s="11" t="s">
        <v>752</v>
      </c>
      <c r="H152" s="12"/>
      <c r="I152" s="13">
        <v>5</v>
      </c>
      <c r="J152" s="13">
        <v>3</v>
      </c>
      <c r="K152" s="14" t="str">
        <f>HYPERLINK("https://dlvrit.com/","dlvr.it")</f>
        <v>dlvr.it</v>
      </c>
      <c r="L152" s="13">
        <v>81545</v>
      </c>
      <c r="M152" s="13">
        <v>49760</v>
      </c>
      <c r="N152" s="13">
        <v>1030</v>
      </c>
      <c r="O152" s="15"/>
      <c r="P152" s="6">
        <v>40353.552581018521</v>
      </c>
      <c r="Q152" s="16" t="s">
        <v>200</v>
      </c>
      <c r="R152" s="17" t="s">
        <v>201</v>
      </c>
      <c r="S152" s="11" t="s">
        <v>202</v>
      </c>
      <c r="T152" s="12"/>
      <c r="U152" s="10" t="str">
        <f>HYPERLINK("https://pbs.twimg.com/profile_images/485680559742791680/dg68o8vH.jpeg","View")</f>
        <v>View</v>
      </c>
    </row>
    <row r="153" spans="1:21" ht="81.599999999999994">
      <c r="A153" s="6">
        <v>43442.641296296293</v>
      </c>
      <c r="B153" s="7" t="str">
        <f>HYPERLINK("https://twitter.com/gibrain30","@gibrain30")</f>
        <v>@gibrain30</v>
      </c>
      <c r="C153" s="8" t="s">
        <v>756</v>
      </c>
      <c r="D153" s="9" t="s">
        <v>757</v>
      </c>
      <c r="E153" s="10" t="str">
        <f>HYPERLINK("https://twitter.com/gibrain30/status/1071409934439497731","1071409934439497731")</f>
        <v>1071409934439497731</v>
      </c>
      <c r="F153" s="11" t="s">
        <v>587</v>
      </c>
      <c r="G153" s="11" t="s">
        <v>588</v>
      </c>
      <c r="H153" s="12"/>
      <c r="I153" s="13">
        <v>0</v>
      </c>
      <c r="J153" s="13">
        <v>1</v>
      </c>
      <c r="K153" s="14" t="str">
        <f t="shared" ref="K153:K155" si="27">HYPERLINK("http://twitter.com/download/android","Twitter for Android")</f>
        <v>Twitter for Android</v>
      </c>
      <c r="L153" s="13">
        <v>107</v>
      </c>
      <c r="M153" s="13">
        <v>225</v>
      </c>
      <c r="N153" s="13">
        <v>0</v>
      </c>
      <c r="O153" s="15"/>
      <c r="P153" s="6">
        <v>41920.833657407406</v>
      </c>
      <c r="Q153" s="12"/>
      <c r="R153" s="17" t="s">
        <v>758</v>
      </c>
      <c r="S153" s="12"/>
      <c r="T153" s="12"/>
      <c r="U153" s="10" t="str">
        <f>HYPERLINK("https://pbs.twimg.com/profile_images/1029306890835173376/JHBPM6GF.jpg","View")</f>
        <v>View</v>
      </c>
    </row>
    <row r="154" spans="1:21" ht="61.2">
      <c r="A154" s="6">
        <v>43442.639814814815</v>
      </c>
      <c r="B154" s="7" t="str">
        <f>HYPERLINK("https://twitter.com/Lindazauryhotm1","@Lindazauryhotm1")</f>
        <v>@Lindazauryhotm1</v>
      </c>
      <c r="C154" s="8" t="s">
        <v>759</v>
      </c>
      <c r="D154" s="9" t="s">
        <v>760</v>
      </c>
      <c r="E154" s="10" t="str">
        <f>HYPERLINK("https://twitter.com/Lindazauryhotm1/status/1071409395416862722","1071409395416862722")</f>
        <v>1071409395416862722</v>
      </c>
      <c r="F154" s="12"/>
      <c r="G154" s="12"/>
      <c r="H154" s="12"/>
      <c r="I154" s="13">
        <v>0</v>
      </c>
      <c r="J154" s="13">
        <v>0</v>
      </c>
      <c r="K154" s="14" t="str">
        <f t="shared" si="27"/>
        <v>Twitter for Android</v>
      </c>
      <c r="L154" s="13">
        <v>70</v>
      </c>
      <c r="M154" s="13">
        <v>409</v>
      </c>
      <c r="N154" s="13">
        <v>0</v>
      </c>
      <c r="O154" s="15"/>
      <c r="P154" s="6">
        <v>43174.970289351855</v>
      </c>
      <c r="Q154" s="12"/>
      <c r="R154" s="19"/>
      <c r="S154" s="12"/>
      <c r="T154" s="12"/>
      <c r="U154" s="18" t="s">
        <v>67</v>
      </c>
    </row>
    <row r="155" spans="1:21" ht="51">
      <c r="A155" s="6">
        <v>43442.638888888891</v>
      </c>
      <c r="B155" s="7" t="str">
        <f>HYPERLINK("https://twitter.com/croatian1977","@croatian1977")</f>
        <v>@croatian1977</v>
      </c>
      <c r="C155" s="8" t="s">
        <v>761</v>
      </c>
      <c r="D155" s="9" t="s">
        <v>762</v>
      </c>
      <c r="E155" s="10" t="str">
        <f>HYPERLINK("https://twitter.com/croatian1977/status/1071409060568883201","1071409060568883201")</f>
        <v>1071409060568883201</v>
      </c>
      <c r="F155" s="12"/>
      <c r="G155" s="12"/>
      <c r="H155" s="12"/>
      <c r="I155" s="13">
        <v>7</v>
      </c>
      <c r="J155" s="13">
        <v>9</v>
      </c>
      <c r="K155" s="14" t="str">
        <f t="shared" si="27"/>
        <v>Twitter for Android</v>
      </c>
      <c r="L155" s="13">
        <v>121</v>
      </c>
      <c r="M155" s="13">
        <v>203</v>
      </c>
      <c r="N155" s="13">
        <v>1</v>
      </c>
      <c r="O155" s="15"/>
      <c r="P155" s="6">
        <v>40285.898252314815</v>
      </c>
      <c r="Q155" s="12"/>
      <c r="R155" s="17" t="s">
        <v>763</v>
      </c>
      <c r="S155" s="12"/>
      <c r="T155" s="12"/>
      <c r="U155" s="10" t="str">
        <f>HYPERLINK("https://pbs.twimg.com/profile_images/1020862780361101313/zdjREhjc.jpg","View")</f>
        <v>View</v>
      </c>
    </row>
    <row r="156" spans="1:21" ht="40.799999999999997">
      <c r="A156" s="6">
        <v>43442.638402777782</v>
      </c>
      <c r="B156" s="7" t="str">
        <f>HYPERLINK("https://twitter.com/EFE_Murcia","@EFE_Murcia")</f>
        <v>@EFE_Murcia</v>
      </c>
      <c r="C156" s="8" t="s">
        <v>764</v>
      </c>
      <c r="D156" s="9" t="s">
        <v>765</v>
      </c>
      <c r="E156" s="10" t="str">
        <f>HYPERLINK("https://twitter.com/EFE_Murcia/status/1071408886127738886","1071408886127738886")</f>
        <v>1071408886127738886</v>
      </c>
      <c r="F156" s="12"/>
      <c r="G156" s="11" t="s">
        <v>766</v>
      </c>
      <c r="H156" s="12"/>
      <c r="I156" s="13">
        <v>0</v>
      </c>
      <c r="J156" s="13">
        <v>0</v>
      </c>
      <c r="K156" s="14" t="str">
        <f>HYPERLINK("http://twitter.com","Twitter Web Client")</f>
        <v>Twitter Web Client</v>
      </c>
      <c r="L156" s="13">
        <v>796</v>
      </c>
      <c r="M156" s="13">
        <v>218</v>
      </c>
      <c r="N156" s="13">
        <v>19</v>
      </c>
      <c r="O156" s="15"/>
      <c r="P156" s="6">
        <v>42080.789930555555</v>
      </c>
      <c r="Q156" s="16" t="s">
        <v>767</v>
      </c>
      <c r="R156" s="17" t="s">
        <v>768</v>
      </c>
      <c r="S156" s="11" t="s">
        <v>769</v>
      </c>
      <c r="T156" s="12"/>
      <c r="U156" s="10" t="str">
        <f>HYPERLINK("https://pbs.twimg.com/profile_images/628209894202703873/iWZEsZZ9.png","View")</f>
        <v>View</v>
      </c>
    </row>
    <row r="157" spans="1:21" ht="20.399999999999999">
      <c r="A157" s="6">
        <v>43442.637870370367</v>
      </c>
      <c r="B157" s="7" t="str">
        <f>HYPERLINK("https://twitter.com/NotiAdictos","@NotiAdictos")</f>
        <v>@NotiAdictos</v>
      </c>
      <c r="C157" s="8" t="s">
        <v>770</v>
      </c>
      <c r="D157" s="9" t="s">
        <v>714</v>
      </c>
      <c r="E157" s="10" t="str">
        <f>HYPERLINK("https://twitter.com/NotiAdictos/status/1071408691860123648","1071408691860123648")</f>
        <v>1071408691860123648</v>
      </c>
      <c r="F157" s="11" t="s">
        <v>715</v>
      </c>
      <c r="G157" s="11" t="s">
        <v>771</v>
      </c>
      <c r="H157" s="12"/>
      <c r="I157" s="13">
        <v>0</v>
      </c>
      <c r="J157" s="13">
        <v>0</v>
      </c>
      <c r="K157" s="14" t="str">
        <f>HYPERLINK("http://epmundo.com","Tuiteo TOP EP (3)")</f>
        <v>Tuiteo TOP EP (3)</v>
      </c>
      <c r="L157" s="13">
        <v>51774</v>
      </c>
      <c r="M157" s="13">
        <v>52978</v>
      </c>
      <c r="N157" s="13">
        <v>133</v>
      </c>
      <c r="O157" s="15"/>
      <c r="P157" s="6">
        <v>42166.14534722222</v>
      </c>
      <c r="Q157" s="12"/>
      <c r="R157" s="17" t="s">
        <v>772</v>
      </c>
      <c r="S157" s="12"/>
      <c r="T157" s="12"/>
      <c r="U157" s="10" t="str">
        <f>HYPERLINK("https://pbs.twimg.com/profile_images/913079381358243842/XvuFiomi.jpg","View")</f>
        <v>View</v>
      </c>
    </row>
    <row r="158" spans="1:21" ht="30.6">
      <c r="A158" s="6">
        <v>43442.637662037036</v>
      </c>
      <c r="B158" s="7" t="str">
        <f>HYPERLINK("https://twitter.com/Taboodelaney","@Taboodelaney")</f>
        <v>@Taboodelaney</v>
      </c>
      <c r="C158" s="8" t="s">
        <v>773</v>
      </c>
      <c r="D158" s="9" t="s">
        <v>774</v>
      </c>
      <c r="E158" s="10" t="str">
        <f>HYPERLINK("https://twitter.com/Taboodelaney/status/1071408616115200002","1071408616115200002")</f>
        <v>1071408616115200002</v>
      </c>
      <c r="F158" s="12"/>
      <c r="G158" s="12"/>
      <c r="H158" s="12"/>
      <c r="I158" s="13">
        <v>1</v>
      </c>
      <c r="J158" s="13">
        <v>7</v>
      </c>
      <c r="K158" s="14" t="str">
        <f>HYPERLINK("http://twitter.com/download/android","Twitter for Android")</f>
        <v>Twitter for Android</v>
      </c>
      <c r="L158" s="13">
        <v>1179</v>
      </c>
      <c r="M158" s="13">
        <v>1050</v>
      </c>
      <c r="N158" s="13">
        <v>2</v>
      </c>
      <c r="O158" s="15"/>
      <c r="P158" s="6">
        <v>43252.734421296293</v>
      </c>
      <c r="Q158" s="12"/>
      <c r="R158" s="17" t="s">
        <v>775</v>
      </c>
      <c r="S158" s="12"/>
      <c r="T158" s="12"/>
      <c r="U158" s="10" t="str">
        <f>HYPERLINK("https://pbs.twimg.com/profile_images/1054075081960382466/6n7kVrx9.jpg","View")</f>
        <v>View</v>
      </c>
    </row>
    <row r="159" spans="1:21" ht="20.399999999999999">
      <c r="A159" s="6">
        <v>43442.637060185181</v>
      </c>
      <c r="B159" s="7" t="str">
        <f>HYPERLINK("https://twitter.com/gerionhabis","@gerionhabis")</f>
        <v>@gerionhabis</v>
      </c>
      <c r="C159" s="8" t="s">
        <v>776</v>
      </c>
      <c r="D159" s="9" t="s">
        <v>777</v>
      </c>
      <c r="E159" s="10" t="str">
        <f>HYPERLINK("https://twitter.com/gerionhabis/status/1071408396816039936","1071408396816039936")</f>
        <v>1071408396816039936</v>
      </c>
      <c r="F159" s="11" t="s">
        <v>778</v>
      </c>
      <c r="G159" s="12"/>
      <c r="H159" s="12"/>
      <c r="I159" s="13">
        <v>0</v>
      </c>
      <c r="J159" s="13">
        <v>0</v>
      </c>
      <c r="K159" s="14" t="str">
        <f>HYPERLINK("http://www.facebook.com/twitter","Facebook")</f>
        <v>Facebook</v>
      </c>
      <c r="L159" s="13">
        <v>181</v>
      </c>
      <c r="M159" s="13">
        <v>356</v>
      </c>
      <c r="N159" s="13">
        <v>2</v>
      </c>
      <c r="O159" s="15"/>
      <c r="P159" s="6">
        <v>40769.520127314812</v>
      </c>
      <c r="Q159" s="12"/>
      <c r="R159" s="19"/>
      <c r="S159" s="12"/>
      <c r="T159" s="12"/>
      <c r="U159" s="10" t="str">
        <f>HYPERLINK("https://pbs.twimg.com/profile_images/757632657106894851/X7Xvn5o3.jpg","View")</f>
        <v>View</v>
      </c>
    </row>
    <row r="160" spans="1:21" ht="40.799999999999997">
      <c r="A160" s="6">
        <v>43442.636932870373</v>
      </c>
      <c r="B160" s="7" t="str">
        <f>HYPERLINK("https://twitter.com/HAUPOLD","@HAUPOLD")</f>
        <v>@HAUPOLD</v>
      </c>
      <c r="C160" s="8" t="s">
        <v>721</v>
      </c>
      <c r="D160" s="9" t="s">
        <v>158</v>
      </c>
      <c r="E160" s="10" t="str">
        <f>HYPERLINK("https://twitter.com/HAUPOLD/status/1071408351668387841","1071408351668387841")</f>
        <v>1071408351668387841</v>
      </c>
      <c r="F160" s="11" t="s">
        <v>779</v>
      </c>
      <c r="G160" s="11" t="s">
        <v>780</v>
      </c>
      <c r="H160" s="12"/>
      <c r="I160" s="13">
        <v>2</v>
      </c>
      <c r="J160" s="13">
        <v>0</v>
      </c>
      <c r="K160" s="14" t="str">
        <f>HYPERLINK("https://dlvrit.com/","dlvr.it")</f>
        <v>dlvr.it</v>
      </c>
      <c r="L160" s="13">
        <v>23789</v>
      </c>
      <c r="M160" s="13">
        <v>10291</v>
      </c>
      <c r="N160" s="13">
        <v>321</v>
      </c>
      <c r="O160" s="15"/>
      <c r="P160" s="6">
        <v>40096.760162037041</v>
      </c>
      <c r="Q160" s="16" t="s">
        <v>724</v>
      </c>
      <c r="R160" s="17" t="s">
        <v>725</v>
      </c>
      <c r="S160" s="11" t="s">
        <v>726</v>
      </c>
      <c r="T160" s="12"/>
      <c r="U160" s="10" t="str">
        <f>HYPERLINK("https://pbs.twimg.com/profile_images/474273362/Antonio_Romero-Haupold_Caballero.jpg","View")</f>
        <v>View</v>
      </c>
    </row>
    <row r="161" spans="1:21" ht="51">
      <c r="A161" s="6">
        <v>43442.636620370366</v>
      </c>
      <c r="B161" s="7" t="str">
        <f>HYPERLINK("https://twitter.com/RayMcCoyBR","@RayMcCoyBR")</f>
        <v>@RayMcCoyBR</v>
      </c>
      <c r="C161" s="8" t="s">
        <v>782</v>
      </c>
      <c r="D161" s="9" t="s">
        <v>783</v>
      </c>
      <c r="E161" s="10" t="str">
        <f>HYPERLINK("https://twitter.com/RayMcCoyBR/status/1071408240276197378","1071408240276197378")</f>
        <v>1071408240276197378</v>
      </c>
      <c r="F161" s="12"/>
      <c r="G161" s="12"/>
      <c r="H161" s="12"/>
      <c r="I161" s="13">
        <v>0</v>
      </c>
      <c r="J161" s="13">
        <v>0</v>
      </c>
      <c r="K161" s="14" t="str">
        <f>HYPERLINK("http://twitter.com/download/android","Twitter for Android")</f>
        <v>Twitter for Android</v>
      </c>
      <c r="L161" s="13">
        <v>102</v>
      </c>
      <c r="M161" s="13">
        <v>169</v>
      </c>
      <c r="N161" s="13">
        <v>3</v>
      </c>
      <c r="O161" s="15"/>
      <c r="P161" s="6">
        <v>42732.656030092592</v>
      </c>
      <c r="Q161" s="12"/>
      <c r="R161" s="21" t="s">
        <v>784</v>
      </c>
      <c r="S161" s="12"/>
      <c r="T161" s="12"/>
      <c r="U161" s="10" t="str">
        <f>HYPERLINK("https://pbs.twimg.com/profile_images/861354917348421634/BmTQsHZD.jpg","View")</f>
        <v>View</v>
      </c>
    </row>
    <row r="162" spans="1:21" ht="71.400000000000006">
      <c r="A162" s="6">
        <v>43442.636365740742</v>
      </c>
      <c r="B162" s="7" t="str">
        <f>HYPERLINK("https://twitter.com/carmeniglesia2","@carmeniglesia2")</f>
        <v>@carmeniglesia2</v>
      </c>
      <c r="C162" s="8" t="s">
        <v>785</v>
      </c>
      <c r="D162" s="9" t="s">
        <v>786</v>
      </c>
      <c r="E162" s="10" t="str">
        <f>HYPERLINK("https://twitter.com/carmeniglesia2/status/1071408147053580289","1071408147053580289")</f>
        <v>1071408147053580289</v>
      </c>
      <c r="F162" s="16" t="s">
        <v>787</v>
      </c>
      <c r="G162" s="12"/>
      <c r="H162" s="12"/>
      <c r="I162" s="13">
        <v>4</v>
      </c>
      <c r="J162" s="13">
        <v>9</v>
      </c>
      <c r="K162" s="14" t="str">
        <f>HYPERLINK("http://twitter.com","Twitter Web Client")</f>
        <v>Twitter Web Client</v>
      </c>
      <c r="L162" s="13">
        <v>2267</v>
      </c>
      <c r="M162" s="13">
        <v>1550</v>
      </c>
      <c r="N162" s="13">
        <v>40</v>
      </c>
      <c r="O162" s="15"/>
      <c r="P162" s="6">
        <v>41286.595729166671</v>
      </c>
      <c r="Q162" s="16" t="s">
        <v>200</v>
      </c>
      <c r="R162" s="17" t="s">
        <v>788</v>
      </c>
      <c r="S162" s="12"/>
      <c r="T162" s="12"/>
      <c r="U162" s="10" t="str">
        <f>HYPERLINK("https://pbs.twimg.com/profile_images/1019622244706865153/WUKa6Wbi.jpg","View")</f>
        <v>View</v>
      </c>
    </row>
    <row r="163" spans="1:21" ht="20.399999999999999">
      <c r="A163" s="6">
        <v>43442.636111111111</v>
      </c>
      <c r="B163" s="7" t="str">
        <f>HYPERLINK("https://twitter.com/elconfidencial","@elconfidencial")</f>
        <v>@elconfidencial</v>
      </c>
      <c r="C163" s="8" t="s">
        <v>542</v>
      </c>
      <c r="D163" s="9" t="s">
        <v>777</v>
      </c>
      <c r="E163" s="10" t="str">
        <f>HYPERLINK("https://twitter.com/elconfidencial/status/1071408053524803584","1071408053524803584")</f>
        <v>1071408053524803584</v>
      </c>
      <c r="F163" s="11" t="s">
        <v>436</v>
      </c>
      <c r="G163" s="12"/>
      <c r="H163" s="12"/>
      <c r="I163" s="13">
        <v>2</v>
      </c>
      <c r="J163" s="13">
        <v>0</v>
      </c>
      <c r="K163" s="14" t="str">
        <f>HYPERLINK("https://about.twitter.com/products/tweetdeck","TweetDeck")</f>
        <v>TweetDeck</v>
      </c>
      <c r="L163" s="13">
        <v>765914</v>
      </c>
      <c r="M163" s="13">
        <v>183</v>
      </c>
      <c r="N163" s="13">
        <v>11126</v>
      </c>
      <c r="O163" s="18" t="s">
        <v>41</v>
      </c>
      <c r="P163" s="6">
        <v>39759.468657407408</v>
      </c>
      <c r="Q163" s="16" t="s">
        <v>544</v>
      </c>
      <c r="R163" s="17" t="s">
        <v>545</v>
      </c>
      <c r="S163" s="11" t="s">
        <v>422</v>
      </c>
      <c r="T163" s="12"/>
      <c r="U163" s="10" t="str">
        <f>HYPERLINK("https://pbs.twimg.com/profile_images/831498645476356097/TVsVGq4W.jpg","View")</f>
        <v>View</v>
      </c>
    </row>
    <row r="164" spans="1:21" ht="20.399999999999999">
      <c r="A164" s="6">
        <v>43442.63590277778</v>
      </c>
      <c r="B164" s="7" t="str">
        <f>HYPERLINK("https://twitter.com/vehuar","@vehuar")</f>
        <v>@vehuar</v>
      </c>
      <c r="C164" s="8" t="s">
        <v>789</v>
      </c>
      <c r="D164" s="9" t="s">
        <v>31</v>
      </c>
      <c r="E164" s="10" t="str">
        <f>HYPERLINK("https://twitter.com/vehuar/status/1071407976920043526","1071407976920043526")</f>
        <v>1071407976920043526</v>
      </c>
      <c r="F164" s="11" t="s">
        <v>790</v>
      </c>
      <c r="G164" s="12"/>
      <c r="H164" s="12"/>
      <c r="I164" s="13">
        <v>0</v>
      </c>
      <c r="J164" s="13">
        <v>0</v>
      </c>
      <c r="K164" s="14" t="str">
        <f>HYPERLINK("http://twitter.com","Twitter Web Client")</f>
        <v>Twitter Web Client</v>
      </c>
      <c r="L164" s="13">
        <v>172</v>
      </c>
      <c r="M164" s="13">
        <v>379</v>
      </c>
      <c r="N164" s="13">
        <v>0</v>
      </c>
      <c r="O164" s="15"/>
      <c r="P164" s="6">
        <v>41312.651226851856</v>
      </c>
      <c r="Q164" s="12"/>
      <c r="R164" s="19"/>
      <c r="S164" s="12"/>
      <c r="T164" s="12"/>
      <c r="U164" s="10" t="str">
        <f>HYPERLINK("https://pbs.twimg.com/profile_images/683911285994582016/fzuQenR4.jpg","View")</f>
        <v>View</v>
      </c>
    </row>
    <row r="165" spans="1:21" ht="40.799999999999997">
      <c r="A165" s="6">
        <v>43442.635879629626</v>
      </c>
      <c r="B165" s="7" t="str">
        <f>HYPERLINK("https://twitter.com/Menttegato","@Menttegato")</f>
        <v>@Menttegato</v>
      </c>
      <c r="C165" s="8" t="s">
        <v>791</v>
      </c>
      <c r="D165" s="9" t="s">
        <v>792</v>
      </c>
      <c r="E165" s="10" t="str">
        <f>HYPERLINK("https://twitter.com/Menttegato/status/1071407971329019904","1071407971329019904")</f>
        <v>1071407971329019904</v>
      </c>
      <c r="F165" s="12"/>
      <c r="G165" s="12"/>
      <c r="H165" s="12"/>
      <c r="I165" s="13">
        <v>3</v>
      </c>
      <c r="J165" s="13">
        <v>4</v>
      </c>
      <c r="K165" s="14" t="str">
        <f t="shared" ref="K165:K166" si="28">HYPERLINK("http://twitter.com/download/iphone","Twitter for iPhone")</f>
        <v>Twitter for iPhone</v>
      </c>
      <c r="L165" s="13">
        <v>522</v>
      </c>
      <c r="M165" s="13">
        <v>1128</v>
      </c>
      <c r="N165" s="13">
        <v>17</v>
      </c>
      <c r="O165" s="15"/>
      <c r="P165" s="6">
        <v>40721.395428240743</v>
      </c>
      <c r="Q165" s="16" t="s">
        <v>200</v>
      </c>
      <c r="R165" s="17" t="s">
        <v>793</v>
      </c>
      <c r="S165" s="11" t="s">
        <v>794</v>
      </c>
      <c r="T165" s="12"/>
      <c r="U165" s="10" t="str">
        <f>HYPERLINK("https://pbs.twimg.com/profile_images/1892217817/Pierre_loti_par_henri_rousseau.jpg","View")</f>
        <v>View</v>
      </c>
    </row>
    <row r="166" spans="1:21" ht="51">
      <c r="A166" s="6">
        <v>43442.635740740741</v>
      </c>
      <c r="B166" s="7" t="str">
        <f>HYPERLINK("https://twitter.com/PabloDominguezM","@PabloDominguezM")</f>
        <v>@PabloDominguezM</v>
      </c>
      <c r="C166" s="8" t="s">
        <v>795</v>
      </c>
      <c r="D166" s="9" t="s">
        <v>796</v>
      </c>
      <c r="E166" s="10" t="str">
        <f>HYPERLINK("https://twitter.com/PabloDominguezM/status/1071407918992515073","1071407918992515073")</f>
        <v>1071407918992515073</v>
      </c>
      <c r="F166" s="12"/>
      <c r="G166" s="12"/>
      <c r="H166" s="12"/>
      <c r="I166" s="13">
        <v>0</v>
      </c>
      <c r="J166" s="13">
        <v>0</v>
      </c>
      <c r="K166" s="14" t="str">
        <f t="shared" si="28"/>
        <v>Twitter for iPhone</v>
      </c>
      <c r="L166" s="13">
        <v>1339</v>
      </c>
      <c r="M166" s="13">
        <v>1006</v>
      </c>
      <c r="N166" s="13">
        <v>20</v>
      </c>
      <c r="O166" s="15"/>
      <c r="P166" s="6">
        <v>40523.609907407408</v>
      </c>
      <c r="Q166" s="16" t="s">
        <v>797</v>
      </c>
      <c r="R166" s="17" t="s">
        <v>798</v>
      </c>
      <c r="S166" s="12"/>
      <c r="T166" s="12"/>
      <c r="U166" s="10" t="str">
        <f>HYPERLINK("https://pbs.twimg.com/profile_images/1061029382716821504/lG5ptxW2.jpg","View")</f>
        <v>View</v>
      </c>
    </row>
    <row r="167" spans="1:21" ht="20.399999999999999">
      <c r="A167" s="6">
        <v>43442.635474537034</v>
      </c>
      <c r="B167" s="7" t="str">
        <f>HYPERLINK("https://twitter.com/GlezFeder","@GlezFeder")</f>
        <v>@GlezFeder</v>
      </c>
      <c r="C167" s="8" t="s">
        <v>799</v>
      </c>
      <c r="D167" s="9" t="s">
        <v>800</v>
      </c>
      <c r="E167" s="10" t="str">
        <f>HYPERLINK("https://twitter.com/GlezFeder/status/1071407824247365633","1071407824247365633")</f>
        <v>1071407824247365633</v>
      </c>
      <c r="F167" s="11" t="s">
        <v>801</v>
      </c>
      <c r="G167" s="12"/>
      <c r="H167" s="12"/>
      <c r="I167" s="13">
        <v>0</v>
      </c>
      <c r="J167" s="13">
        <v>0</v>
      </c>
      <c r="K167" s="14" t="str">
        <f t="shared" ref="K167:K168" si="29">HYPERLINK("http://twitter.com","Twitter Web Client")</f>
        <v>Twitter Web Client</v>
      </c>
      <c r="L167" s="13">
        <v>237</v>
      </c>
      <c r="M167" s="13">
        <v>267</v>
      </c>
      <c r="N167" s="13">
        <v>2</v>
      </c>
      <c r="O167" s="15"/>
      <c r="P167" s="6">
        <v>43247.825613425928</v>
      </c>
      <c r="Q167" s="16" t="s">
        <v>802</v>
      </c>
      <c r="R167" s="17" t="s">
        <v>803</v>
      </c>
      <c r="S167" s="12"/>
      <c r="T167" s="12"/>
      <c r="U167" s="10" t="str">
        <f>HYPERLINK("https://pbs.twimg.com/profile_images/1060247976700973056/3K9K-vjB.jpg","View")</f>
        <v>View</v>
      </c>
    </row>
    <row r="168" spans="1:21" ht="51">
      <c r="A168" s="6">
        <v>43442.634398148148</v>
      </c>
      <c r="B168" s="7" t="str">
        <f>HYPERLINK("https://twitter.com/Kojackadas","@Kojackadas")</f>
        <v>@Kojackadas</v>
      </c>
      <c r="C168" s="8" t="s">
        <v>804</v>
      </c>
      <c r="D168" s="9" t="s">
        <v>805</v>
      </c>
      <c r="E168" s="10" t="str">
        <f>HYPERLINK("https://twitter.com/Kojackadas/status/1071407433296285696","1071407433296285696")</f>
        <v>1071407433296285696</v>
      </c>
      <c r="F168" s="12"/>
      <c r="G168" s="12"/>
      <c r="H168" s="12"/>
      <c r="I168" s="13">
        <v>0</v>
      </c>
      <c r="J168" s="13">
        <v>0</v>
      </c>
      <c r="K168" s="14" t="str">
        <f t="shared" si="29"/>
        <v>Twitter Web Client</v>
      </c>
      <c r="L168" s="13">
        <v>6167</v>
      </c>
      <c r="M168" s="13">
        <v>6760</v>
      </c>
      <c r="N168" s="13">
        <v>26</v>
      </c>
      <c r="O168" s="15"/>
      <c r="P168" s="6">
        <v>41389.461724537039</v>
      </c>
      <c r="Q168" s="16" t="s">
        <v>806</v>
      </c>
      <c r="R168" s="17" t="s">
        <v>807</v>
      </c>
      <c r="S168" s="11" t="s">
        <v>808</v>
      </c>
      <c r="T168" s="12"/>
      <c r="U168" s="10" t="str">
        <f>HYPERLINK("https://pbs.twimg.com/profile_images/3572377129/ceb12f4ec045ef03e87300a9c0b4caca.jpeg","View")</f>
        <v>View</v>
      </c>
    </row>
    <row r="169" spans="1:21" ht="40.799999999999997">
      <c r="A169" s="6">
        <v>43442.63318287037</v>
      </c>
      <c r="B169" s="7" t="str">
        <f>HYPERLINK("https://twitter.com/cnestevez","@cnestevez")</f>
        <v>@cnestevez</v>
      </c>
      <c r="C169" s="8" t="s">
        <v>809</v>
      </c>
      <c r="D169" s="9" t="s">
        <v>810</v>
      </c>
      <c r="E169" s="10" t="str">
        <f>HYPERLINK("https://twitter.com/cnestevez/status/1071406992093339648","1071406992093339648")</f>
        <v>1071406992093339648</v>
      </c>
      <c r="F169" s="12"/>
      <c r="G169" s="12"/>
      <c r="H169" s="12"/>
      <c r="I169" s="13">
        <v>0</v>
      </c>
      <c r="J169" s="13">
        <v>0</v>
      </c>
      <c r="K169" s="14" t="str">
        <f>HYPERLINK("http://twitter.com/#!/download/ipad","Twitter for iPad")</f>
        <v>Twitter for iPad</v>
      </c>
      <c r="L169" s="13">
        <v>19</v>
      </c>
      <c r="M169" s="13">
        <v>45</v>
      </c>
      <c r="N169" s="13">
        <v>0</v>
      </c>
      <c r="O169" s="15"/>
      <c r="P169" s="6">
        <v>41029.030578703707</v>
      </c>
      <c r="Q169" s="12"/>
      <c r="R169" s="19"/>
      <c r="S169" s="12"/>
      <c r="T169" s="12"/>
      <c r="U169" s="10" t="str">
        <f>HYPERLINK("https://pbs.twimg.com/profile_images/958046110211330049/0ElJJ9nt.jpg","View")</f>
        <v>View</v>
      </c>
    </row>
    <row r="170" spans="1:21" ht="20.399999999999999">
      <c r="A170" s="6">
        <v>43442.632395833338</v>
      </c>
      <c r="B170" s="7" t="str">
        <f>HYPERLINK("https://twitter.com/desamparadosb","@desamparadosb")</f>
        <v>@desamparadosb</v>
      </c>
      <c r="C170" s="8" t="s">
        <v>811</v>
      </c>
      <c r="D170" s="9" t="s">
        <v>812</v>
      </c>
      <c r="E170" s="10" t="str">
        <f>HYPERLINK("https://twitter.com/desamparadosb/status/1071406707459395586","1071406707459395586")</f>
        <v>1071406707459395586</v>
      </c>
      <c r="F170" s="12"/>
      <c r="G170" s="12"/>
      <c r="H170" s="12"/>
      <c r="I170" s="13">
        <v>7</v>
      </c>
      <c r="J170" s="13">
        <v>16</v>
      </c>
      <c r="K170" s="14" t="str">
        <f>HYPERLINK("http://twitter.com/download/android","Twitter for Android")</f>
        <v>Twitter for Android</v>
      </c>
      <c r="L170" s="13">
        <v>8883</v>
      </c>
      <c r="M170" s="13">
        <v>8773</v>
      </c>
      <c r="N170" s="13">
        <v>76</v>
      </c>
      <c r="O170" s="15"/>
      <c r="P170" s="6">
        <v>40588.655810185184</v>
      </c>
      <c r="Q170" s="16" t="s">
        <v>228</v>
      </c>
      <c r="R170" s="17" t="s">
        <v>813</v>
      </c>
      <c r="S170" s="12"/>
      <c r="T170" s="12"/>
      <c r="U170" s="10" t="str">
        <f>HYPERLINK("https://pbs.twimg.com/profile_images/1071316502400380929/GDjuUQlT.jpg","View")</f>
        <v>View</v>
      </c>
    </row>
    <row r="171" spans="1:21" ht="30.6">
      <c r="A171" s="6">
        <v>43442.631435185191</v>
      </c>
      <c r="B171" s="7" t="str">
        <f>HYPERLINK("https://twitter.com/UDECAndujar","@UDECAndujar")</f>
        <v>@UDECAndujar</v>
      </c>
      <c r="C171" s="8" t="s">
        <v>815</v>
      </c>
      <c r="D171" s="9" t="s">
        <v>816</v>
      </c>
      <c r="E171" s="10" t="str">
        <f>HYPERLINK("https://twitter.com/UDECAndujar/status/1071406357289598976","1071406357289598976")</f>
        <v>1071406357289598976</v>
      </c>
      <c r="F171" s="12"/>
      <c r="G171" s="12"/>
      <c r="H171" s="12"/>
      <c r="I171" s="13">
        <v>2</v>
      </c>
      <c r="J171" s="13">
        <v>0</v>
      </c>
      <c r="K171" s="14" t="str">
        <f>HYPERLINK("https://mobile.twitter.com","Twitter Lite")</f>
        <v>Twitter Lite</v>
      </c>
      <c r="L171" s="13">
        <v>359</v>
      </c>
      <c r="M171" s="13">
        <v>1250</v>
      </c>
      <c r="N171" s="13">
        <v>0</v>
      </c>
      <c r="O171" s="15"/>
      <c r="P171" s="6">
        <v>42416.566435185188</v>
      </c>
      <c r="Q171" s="16" t="s">
        <v>133</v>
      </c>
      <c r="R171" s="17" t="s">
        <v>818</v>
      </c>
      <c r="S171" s="11" t="s">
        <v>819</v>
      </c>
      <c r="T171" s="12"/>
      <c r="U171" s="10" t="str">
        <f>HYPERLINK("https://pbs.twimg.com/profile_images/968183684623945728/hyAOTjnw.jpg","View")</f>
        <v>View</v>
      </c>
    </row>
    <row r="172" spans="1:21" ht="30.6">
      <c r="A172" s="6">
        <v>43442.631018518514</v>
      </c>
      <c r="B172" s="7" t="str">
        <f>HYPERLINK("https://twitter.com/juanarolas","@juanarolas")</f>
        <v>@juanarolas</v>
      </c>
      <c r="C172" s="8" t="s">
        <v>821</v>
      </c>
      <c r="D172" s="9" t="s">
        <v>822</v>
      </c>
      <c r="E172" s="10" t="str">
        <f>HYPERLINK("https://twitter.com/juanarolas/status/1071406206609027073","1071406206609027073")</f>
        <v>1071406206609027073</v>
      </c>
      <c r="F172" s="12"/>
      <c r="G172" s="12"/>
      <c r="H172" s="12"/>
      <c r="I172" s="13">
        <v>0</v>
      </c>
      <c r="J172" s="13">
        <v>1</v>
      </c>
      <c r="K172" s="14" t="str">
        <f t="shared" ref="K172:K175" si="30">HYPERLINK("http://twitter.com/download/android","Twitter for Android")</f>
        <v>Twitter for Android</v>
      </c>
      <c r="L172" s="13">
        <v>213</v>
      </c>
      <c r="M172" s="13">
        <v>226</v>
      </c>
      <c r="N172" s="13">
        <v>3</v>
      </c>
      <c r="O172" s="15"/>
      <c r="P172" s="6">
        <v>40925.37259259259</v>
      </c>
      <c r="Q172" s="12"/>
      <c r="R172" s="19"/>
      <c r="S172" s="12"/>
      <c r="T172" s="12"/>
      <c r="U172" s="10" t="str">
        <f>HYPERLINK("https://pbs.twimg.com/profile_images/1024688570718711808/lT4S31DW.jpg","View")</f>
        <v>View</v>
      </c>
    </row>
    <row r="173" spans="1:21" ht="61.2">
      <c r="A173" s="6">
        <v>43442.630972222221</v>
      </c>
      <c r="B173" s="7" t="str">
        <f>HYPERLINK("https://twitter.com/Motriclin69","@Motriclin69")</f>
        <v>@Motriclin69</v>
      </c>
      <c r="C173" s="8" t="s">
        <v>823</v>
      </c>
      <c r="D173" s="9" t="s">
        <v>824</v>
      </c>
      <c r="E173" s="10" t="str">
        <f>HYPERLINK("https://twitter.com/Motriclin69/status/1071406189831950337","1071406189831950337")</f>
        <v>1071406189831950337</v>
      </c>
      <c r="F173" s="16" t="s">
        <v>108</v>
      </c>
      <c r="G173" s="12"/>
      <c r="H173" s="12"/>
      <c r="I173" s="13">
        <v>0</v>
      </c>
      <c r="J173" s="13">
        <v>0</v>
      </c>
      <c r="K173" s="14" t="str">
        <f t="shared" si="30"/>
        <v>Twitter for Android</v>
      </c>
      <c r="L173" s="13">
        <v>37</v>
      </c>
      <c r="M173" s="13">
        <v>510</v>
      </c>
      <c r="N173" s="13">
        <v>0</v>
      </c>
      <c r="O173" s="15"/>
      <c r="P173" s="6">
        <v>42892.707453703704</v>
      </c>
      <c r="Q173" s="16" t="s">
        <v>825</v>
      </c>
      <c r="R173" s="17" t="s">
        <v>826</v>
      </c>
      <c r="S173" s="11" t="s">
        <v>827</v>
      </c>
      <c r="T173" s="12"/>
      <c r="U173" s="10" t="str">
        <f>HYPERLINK("https://pbs.twimg.com/profile_images/873093013924265984/fM3S0JX8.jpg","View")</f>
        <v>View</v>
      </c>
    </row>
    <row r="174" spans="1:21" ht="40.799999999999997">
      <c r="A174" s="6">
        <v>43442.630173611113</v>
      </c>
      <c r="B174" s="7" t="str">
        <f>HYPERLINK("https://twitter.com/trajano313","@trajano313")</f>
        <v>@trajano313</v>
      </c>
      <c r="C174" s="8" t="s">
        <v>828</v>
      </c>
      <c r="D174" s="9" t="s">
        <v>829</v>
      </c>
      <c r="E174" s="10" t="str">
        <f>HYPERLINK("https://twitter.com/trajano313/status/1071405900982833152","1071405900982833152")</f>
        <v>1071405900982833152</v>
      </c>
      <c r="F174" s="12"/>
      <c r="G174" s="12"/>
      <c r="H174" s="12"/>
      <c r="I174" s="13">
        <v>1</v>
      </c>
      <c r="J174" s="13">
        <v>1</v>
      </c>
      <c r="K174" s="14" t="str">
        <f t="shared" si="30"/>
        <v>Twitter for Android</v>
      </c>
      <c r="L174" s="13">
        <v>2424</v>
      </c>
      <c r="M174" s="13">
        <v>2352</v>
      </c>
      <c r="N174" s="13">
        <v>25</v>
      </c>
      <c r="O174" s="15"/>
      <c r="P174" s="6">
        <v>40451.624675925923</v>
      </c>
      <c r="Q174" s="12"/>
      <c r="R174" s="19"/>
      <c r="S174" s="12"/>
      <c r="T174" s="12"/>
      <c r="U174" s="10" t="str">
        <f>HYPERLINK("https://pbs.twimg.com/profile_images/912359275351220225/pFHb_ecp.jpg","View")</f>
        <v>View</v>
      </c>
    </row>
    <row r="175" spans="1:21" ht="40.799999999999997">
      <c r="A175" s="6">
        <v>43442.63009259259</v>
      </c>
      <c r="B175" s="7" t="str">
        <f>HYPERLINK("https://twitter.com/i_roman","@i_roman")</f>
        <v>@i_roman</v>
      </c>
      <c r="C175" s="8" t="s">
        <v>830</v>
      </c>
      <c r="D175" s="9" t="s">
        <v>31</v>
      </c>
      <c r="E175" s="10" t="str">
        <f>HYPERLINK("https://twitter.com/i_roman/status/1071405873241735169","1071405873241735169")</f>
        <v>1071405873241735169</v>
      </c>
      <c r="F175" s="11" t="s">
        <v>831</v>
      </c>
      <c r="G175" s="12"/>
      <c r="H175" s="12"/>
      <c r="I175" s="13">
        <v>2</v>
      </c>
      <c r="J175" s="13">
        <v>0</v>
      </c>
      <c r="K175" s="14" t="str">
        <f t="shared" si="30"/>
        <v>Twitter for Android</v>
      </c>
      <c r="L175" s="13">
        <v>6673</v>
      </c>
      <c r="M175" s="13">
        <v>6010</v>
      </c>
      <c r="N175" s="13">
        <v>204</v>
      </c>
      <c r="O175" s="15"/>
      <c r="P175" s="6">
        <v>40428.984907407408</v>
      </c>
      <c r="Q175" s="16" t="s">
        <v>832</v>
      </c>
      <c r="R175" s="17" t="s">
        <v>833</v>
      </c>
      <c r="S175" s="11" t="s">
        <v>834</v>
      </c>
      <c r="T175" s="12"/>
      <c r="U175" s="10" t="str">
        <f>HYPERLINK("https://pbs.twimg.com/profile_images/734369143122735104/JVeDwS47.jpg","View")</f>
        <v>View</v>
      </c>
    </row>
    <row r="176" spans="1:21" ht="20.399999999999999">
      <c r="A176" s="6">
        <v>43442.629884259259</v>
      </c>
      <c r="B176" s="7" t="str">
        <f>HYPERLINK("https://twitter.com/eldiarioes","@eldiarioes")</f>
        <v>@eldiarioes</v>
      </c>
      <c r="C176" s="20" t="s">
        <v>642</v>
      </c>
      <c r="D176" s="9" t="s">
        <v>835</v>
      </c>
      <c r="E176" s="10" t="str">
        <f>HYPERLINK("https://twitter.com/eldiarioes/status/1071405798360825859","1071405798360825859")</f>
        <v>1071405798360825859</v>
      </c>
      <c r="F176" s="11" t="s">
        <v>503</v>
      </c>
      <c r="G176" s="11" t="s">
        <v>836</v>
      </c>
      <c r="H176" s="12"/>
      <c r="I176" s="13">
        <v>12</v>
      </c>
      <c r="J176" s="13">
        <v>19</v>
      </c>
      <c r="K176" s="14" t="str">
        <f>HYPERLINK("https://about.twitter.com/products/tweetdeck","TweetDeck")</f>
        <v>TweetDeck</v>
      </c>
      <c r="L176" s="13">
        <v>940168</v>
      </c>
      <c r="M176" s="13">
        <v>456</v>
      </c>
      <c r="N176" s="13">
        <v>11262</v>
      </c>
      <c r="O176" s="18" t="s">
        <v>41</v>
      </c>
      <c r="P176" s="6">
        <v>40992.839189814811</v>
      </c>
      <c r="Q176" s="12"/>
      <c r="R176" s="17" t="s">
        <v>643</v>
      </c>
      <c r="S176" s="11" t="s">
        <v>644</v>
      </c>
      <c r="T176" s="12"/>
      <c r="U176" s="10" t="str">
        <f>HYPERLINK("https://pbs.twimg.com/profile_images/1016600645292511232/eYIkIK2s.jpg","View")</f>
        <v>View</v>
      </c>
    </row>
    <row r="177" spans="1:21" ht="20.399999999999999">
      <c r="A177" s="6">
        <v>43442.629131944443</v>
      </c>
      <c r="B177" s="7" t="str">
        <f>HYPERLINK("https://twitter.com/GlezFeder","@GlezFeder")</f>
        <v>@GlezFeder</v>
      </c>
      <c r="C177" s="8" t="s">
        <v>799</v>
      </c>
      <c r="D177" s="9" t="s">
        <v>31</v>
      </c>
      <c r="E177" s="10" t="str">
        <f>HYPERLINK("https://twitter.com/GlezFeder/status/1071405526364377089","1071405526364377089")</f>
        <v>1071405526364377089</v>
      </c>
      <c r="F177" s="11" t="s">
        <v>837</v>
      </c>
      <c r="G177" s="12"/>
      <c r="H177" s="12"/>
      <c r="I177" s="13">
        <v>0</v>
      </c>
      <c r="J177" s="13">
        <v>1</v>
      </c>
      <c r="K177" s="14" t="str">
        <f>HYPERLINK("http://twitter.com","Twitter Web Client")</f>
        <v>Twitter Web Client</v>
      </c>
      <c r="L177" s="13">
        <v>237</v>
      </c>
      <c r="M177" s="13">
        <v>267</v>
      </c>
      <c r="N177" s="13">
        <v>2</v>
      </c>
      <c r="O177" s="15"/>
      <c r="P177" s="6">
        <v>43247.825613425928</v>
      </c>
      <c r="Q177" s="16" t="s">
        <v>802</v>
      </c>
      <c r="R177" s="17" t="s">
        <v>803</v>
      </c>
      <c r="S177" s="12"/>
      <c r="T177" s="12"/>
      <c r="U177" s="10" t="str">
        <f>HYPERLINK("https://pbs.twimg.com/profile_images/1060247976700973056/3K9K-vjB.jpg","View")</f>
        <v>View</v>
      </c>
    </row>
    <row r="178" spans="1:21" ht="81.599999999999994">
      <c r="A178" s="6">
        <v>43442.628657407404</v>
      </c>
      <c r="B178" s="7" t="str">
        <f>HYPERLINK("https://twitter.com/pepe20161952","@pepe20161952")</f>
        <v>@pepe20161952</v>
      </c>
      <c r="C178" s="8" t="s">
        <v>838</v>
      </c>
      <c r="D178" s="9" t="s">
        <v>839</v>
      </c>
      <c r="E178" s="10" t="str">
        <f>HYPERLINK("https://twitter.com/pepe20161952/status/1071405353202540544","1071405353202540544")</f>
        <v>1071405353202540544</v>
      </c>
      <c r="F178" s="11" t="s">
        <v>65</v>
      </c>
      <c r="G178" s="11" t="s">
        <v>66</v>
      </c>
      <c r="H178" s="12"/>
      <c r="I178" s="13">
        <v>0</v>
      </c>
      <c r="J178" s="13">
        <v>0</v>
      </c>
      <c r="K178" s="14" t="str">
        <f>HYPERLINK("http://twitter.com/download/iphone","Twitter for iPhone")</f>
        <v>Twitter for iPhone</v>
      </c>
      <c r="L178" s="13">
        <v>91</v>
      </c>
      <c r="M178" s="13">
        <v>139</v>
      </c>
      <c r="N178" s="13">
        <v>1</v>
      </c>
      <c r="O178" s="15"/>
      <c r="P178" s="6">
        <v>42545.995243055557</v>
      </c>
      <c r="Q178" s="12"/>
      <c r="R178" s="19"/>
      <c r="S178" s="12"/>
      <c r="T178" s="12"/>
      <c r="U178" s="10" t="str">
        <f>HYPERLINK("https://pbs.twimg.com/profile_images/1042526225581973505/T-ZFz-WQ.jpg","View")</f>
        <v>View</v>
      </c>
    </row>
    <row r="179" spans="1:21" ht="40.799999999999997">
      <c r="A179" s="6">
        <v>43442.626701388886</v>
      </c>
      <c r="B179" s="7" t="str">
        <f>HYPERLINK("https://twitter.com/OsquirrinDj","@OsquirrinDj")</f>
        <v>@OsquirrinDj</v>
      </c>
      <c r="C179" s="8" t="s">
        <v>840</v>
      </c>
      <c r="D179" s="9" t="s">
        <v>841</v>
      </c>
      <c r="E179" s="10" t="str">
        <f>HYPERLINK("https://twitter.com/OsquirrinDj/status/1071404642301562883","1071404642301562883")</f>
        <v>1071404642301562883</v>
      </c>
      <c r="F179" s="11" t="s">
        <v>220</v>
      </c>
      <c r="G179" s="11" t="s">
        <v>843</v>
      </c>
      <c r="H179" s="12"/>
      <c r="I179" s="13">
        <v>3</v>
      </c>
      <c r="J179" s="13">
        <v>1</v>
      </c>
      <c r="K179" s="14" t="str">
        <f>HYPERLINK("http://twitter.com/download/android","Twitter for Android")</f>
        <v>Twitter for Android</v>
      </c>
      <c r="L179" s="13">
        <v>225</v>
      </c>
      <c r="M179" s="13">
        <v>252</v>
      </c>
      <c r="N179" s="13">
        <v>1</v>
      </c>
      <c r="O179" s="15"/>
      <c r="P179" s="6">
        <v>42872.549293981487</v>
      </c>
      <c r="Q179" s="16" t="s">
        <v>844</v>
      </c>
      <c r="R179" s="17" t="s">
        <v>845</v>
      </c>
      <c r="S179" s="12"/>
      <c r="T179" s="12"/>
      <c r="U179" s="10" t="str">
        <f>HYPERLINK("https://pbs.twimg.com/profile_images/1056283483407085568/z3MSKfvm.jpg","View")</f>
        <v>View</v>
      </c>
    </row>
    <row r="180" spans="1:21" ht="51">
      <c r="A180" s="6">
        <v>43442.626655092594</v>
      </c>
      <c r="B180" s="7" t="str">
        <f>HYPERLINK("https://twitter.com/bugallego","@bugallego")</f>
        <v>@bugallego</v>
      </c>
      <c r="C180" s="8" t="s">
        <v>846</v>
      </c>
      <c r="D180" s="9" t="s">
        <v>847</v>
      </c>
      <c r="E180" s="10" t="str">
        <f>HYPERLINK("https://twitter.com/bugallego/status/1071404628212965379","1071404628212965379")</f>
        <v>1071404628212965379</v>
      </c>
      <c r="F180" s="12"/>
      <c r="G180" s="12"/>
      <c r="H180" s="12"/>
      <c r="I180" s="13">
        <v>0</v>
      </c>
      <c r="J180" s="13">
        <v>0</v>
      </c>
      <c r="K180" s="14" t="str">
        <f>HYPERLINK("http://twitter.com/download/iphone","Twitter for iPhone")</f>
        <v>Twitter for iPhone</v>
      </c>
      <c r="L180" s="13">
        <v>896</v>
      </c>
      <c r="M180" s="13">
        <v>2078</v>
      </c>
      <c r="N180" s="13">
        <v>48</v>
      </c>
      <c r="O180" s="15"/>
      <c r="P180" s="6">
        <v>41268.588877314818</v>
      </c>
      <c r="Q180" s="16" t="s">
        <v>848</v>
      </c>
      <c r="R180" s="19"/>
      <c r="S180" s="12"/>
      <c r="T180" s="12"/>
      <c r="U180" s="10" t="str">
        <f>HYPERLINK("https://pbs.twimg.com/profile_images/649499656670564352/wMuIX5o7.jpg","View")</f>
        <v>View</v>
      </c>
    </row>
    <row r="181" spans="1:21" ht="30.6">
      <c r="A181" s="6">
        <v>43442.62635416667</v>
      </c>
      <c r="B181" s="7" t="str">
        <f>HYPERLINK("https://twitter.com/HonestHumanity","@HonestHumanity")</f>
        <v>@HonestHumanity</v>
      </c>
      <c r="C181" s="8" t="s">
        <v>849</v>
      </c>
      <c r="D181" s="9" t="s">
        <v>850</v>
      </c>
      <c r="E181" s="10" t="str">
        <f>HYPERLINK("https://twitter.com/HonestHumanity/status/1071404519978926082","1071404519978926082")</f>
        <v>1071404519978926082</v>
      </c>
      <c r="F181" s="11" t="s">
        <v>115</v>
      </c>
      <c r="G181" s="12"/>
      <c r="H181" s="12"/>
      <c r="I181" s="13">
        <v>0</v>
      </c>
      <c r="J181" s="13">
        <v>0</v>
      </c>
      <c r="K181" s="14" t="str">
        <f>HYPERLINK("http://twitter.com","Twitter Web Client")</f>
        <v>Twitter Web Client</v>
      </c>
      <c r="L181" s="13">
        <v>2445</v>
      </c>
      <c r="M181" s="13">
        <v>2782</v>
      </c>
      <c r="N181" s="13">
        <v>157</v>
      </c>
      <c r="O181" s="15"/>
      <c r="P181" s="6">
        <v>41604.924803240741</v>
      </c>
      <c r="Q181" s="16" t="s">
        <v>852</v>
      </c>
      <c r="R181" s="17" t="s">
        <v>853</v>
      </c>
      <c r="S181" s="12"/>
      <c r="T181" s="12"/>
      <c r="U181" s="10" t="str">
        <f>HYPERLINK("https://pbs.twimg.com/profile_images/1004050338977107973/eHu950Tj.jpg","View")</f>
        <v>View</v>
      </c>
    </row>
    <row r="182" spans="1:21" ht="30.6">
      <c r="A182" s="6">
        <v>43442.626215277778</v>
      </c>
      <c r="B182" s="7" t="str">
        <f>HYPERLINK("https://twitter.com/elmundoes","@elmundoes")</f>
        <v>@elmundoes</v>
      </c>
      <c r="C182" s="8" t="s">
        <v>854</v>
      </c>
      <c r="D182" s="9" t="s">
        <v>855</v>
      </c>
      <c r="E182" s="10" t="str">
        <f>HYPERLINK("https://twitter.com/elmundoes/status/1071404469609476096","1071404469609476096")</f>
        <v>1071404469609476096</v>
      </c>
      <c r="F182" s="11" t="s">
        <v>856</v>
      </c>
      <c r="G182" s="12"/>
      <c r="H182" s="12"/>
      <c r="I182" s="13">
        <v>23</v>
      </c>
      <c r="J182" s="13">
        <v>32</v>
      </c>
      <c r="K182" s="14" t="str">
        <f>HYPERLINK("http://www.socialflow.com","SocialFlow")</f>
        <v>SocialFlow</v>
      </c>
      <c r="L182" s="13">
        <v>3199083</v>
      </c>
      <c r="M182" s="13">
        <v>1355</v>
      </c>
      <c r="N182" s="13">
        <v>29607</v>
      </c>
      <c r="O182" s="18" t="s">
        <v>41</v>
      </c>
      <c r="P182" s="6">
        <v>39556.853761574072</v>
      </c>
      <c r="Q182" s="16" t="s">
        <v>60</v>
      </c>
      <c r="R182" s="17" t="s">
        <v>857</v>
      </c>
      <c r="S182" s="11" t="s">
        <v>858</v>
      </c>
      <c r="T182" s="12"/>
      <c r="U182" s="10" t="str">
        <f>HYPERLINK("https://pbs.twimg.com/profile_images/959947259780747265/ez18J78k.jpg","View")</f>
        <v>View</v>
      </c>
    </row>
    <row r="183" spans="1:21" ht="102">
      <c r="A183" s="6">
        <v>43442.625520833331</v>
      </c>
      <c r="B183" s="7" t="str">
        <f>HYPERLINK("https://twitter.com/Maranigar","@Maranigar")</f>
        <v>@Maranigar</v>
      </c>
      <c r="C183" s="8" t="s">
        <v>859</v>
      </c>
      <c r="D183" s="9" t="s">
        <v>860</v>
      </c>
      <c r="E183" s="10" t="str">
        <f>HYPERLINK("https://twitter.com/Maranigar/status/1071404217045258247","1071404217045258247")</f>
        <v>1071404217045258247</v>
      </c>
      <c r="F183" s="11" t="s">
        <v>701</v>
      </c>
      <c r="G183" s="11" t="s">
        <v>702</v>
      </c>
      <c r="H183" s="12"/>
      <c r="I183" s="13">
        <v>1</v>
      </c>
      <c r="J183" s="13">
        <v>2</v>
      </c>
      <c r="K183" s="14" t="str">
        <f>HYPERLINK("http://twitter.com/download/iphone","Twitter for iPhone")</f>
        <v>Twitter for iPhone</v>
      </c>
      <c r="L183" s="13">
        <v>39</v>
      </c>
      <c r="M183" s="13">
        <v>126</v>
      </c>
      <c r="N183" s="13">
        <v>0</v>
      </c>
      <c r="O183" s="15"/>
      <c r="P183" s="6">
        <v>42940.612210648149</v>
      </c>
      <c r="Q183" s="16" t="s">
        <v>60</v>
      </c>
      <c r="R183" s="17" t="s">
        <v>861</v>
      </c>
      <c r="S183" s="12"/>
      <c r="T183" s="12"/>
      <c r="U183" s="10" t="str">
        <f>HYPERLINK("https://pbs.twimg.com/profile_images/889588046412341248/FLLWG4dN.jpg","View")</f>
        <v>View</v>
      </c>
    </row>
    <row r="184" spans="1:21" ht="30.6">
      <c r="A184" s="6">
        <v>43442.6253125</v>
      </c>
      <c r="B184" s="7" t="str">
        <f>HYPERLINK("https://twitter.com/sentido_comum","@sentido_comum")</f>
        <v>@sentido_comum</v>
      </c>
      <c r="C184" s="8" t="s">
        <v>863</v>
      </c>
      <c r="D184" s="9" t="s">
        <v>864</v>
      </c>
      <c r="E184" s="10" t="str">
        <f>HYPERLINK("https://twitter.com/sentido_comum/status/1071404141761716225","1071404141761716225")</f>
        <v>1071404141761716225</v>
      </c>
      <c r="F184" s="12"/>
      <c r="G184" s="12"/>
      <c r="H184" s="12"/>
      <c r="I184" s="13">
        <v>0</v>
      </c>
      <c r="J184" s="13">
        <v>1</v>
      </c>
      <c r="K184" s="14" t="str">
        <f>HYPERLINK("http://twitter.com/download/android","Twitter for Android")</f>
        <v>Twitter for Android</v>
      </c>
      <c r="L184" s="13">
        <v>26</v>
      </c>
      <c r="M184" s="13">
        <v>65</v>
      </c>
      <c r="N184" s="13">
        <v>0</v>
      </c>
      <c r="O184" s="15"/>
      <c r="P184" s="6">
        <v>43019.90053240741</v>
      </c>
      <c r="Q184" s="12"/>
      <c r="R184" s="19"/>
      <c r="S184" s="12"/>
      <c r="T184" s="12"/>
      <c r="U184" s="10" t="str">
        <f>HYPERLINK("https://pbs.twimg.com/profile_images/1029327501103968256/16s9zoo7.jpg","View")</f>
        <v>View</v>
      </c>
    </row>
    <row r="185" spans="1:21" ht="40.799999999999997">
      <c r="A185" s="6">
        <v>43442.625162037039</v>
      </c>
      <c r="B185" s="7" t="str">
        <f t="shared" ref="B185:B186" si="31">HYPERLINK("https://twitter.com/lextresabogados","@lextresabogados")</f>
        <v>@lextresabogados</v>
      </c>
      <c r="C185" s="8" t="s">
        <v>226</v>
      </c>
      <c r="D185" s="9" t="s">
        <v>865</v>
      </c>
      <c r="E185" s="10" t="str">
        <f>HYPERLINK("https://twitter.com/lextresabogados/status/1071404085075693568","1071404085075693568")</f>
        <v>1071404085075693568</v>
      </c>
      <c r="F185" s="11" t="s">
        <v>866</v>
      </c>
      <c r="G185" s="11" t="s">
        <v>867</v>
      </c>
      <c r="H185" s="12"/>
      <c r="I185" s="13">
        <v>0</v>
      </c>
      <c r="J185" s="13">
        <v>0</v>
      </c>
      <c r="K185" s="14" t="str">
        <f t="shared" ref="K185:K186" si="32">HYPERLINK("http://35.180.36.179","botize nueva")</f>
        <v>botize nueva</v>
      </c>
      <c r="L185" s="13">
        <v>2912</v>
      </c>
      <c r="M185" s="13">
        <v>3525</v>
      </c>
      <c r="N185" s="13">
        <v>26</v>
      </c>
      <c r="O185" s="15"/>
      <c r="P185" s="6">
        <v>42880.770949074074</v>
      </c>
      <c r="Q185" s="16" t="s">
        <v>230</v>
      </c>
      <c r="R185" s="17" t="s">
        <v>231</v>
      </c>
      <c r="S185" s="11" t="s">
        <v>232</v>
      </c>
      <c r="T185" s="12"/>
      <c r="U185" s="10" t="str">
        <f t="shared" ref="U185:U186" si="33">HYPERLINK("https://pbs.twimg.com/profile_images/1068056978679898113/YnjKwiVy.jpg","View")</f>
        <v>View</v>
      </c>
    </row>
    <row r="186" spans="1:21" ht="40.799999999999997">
      <c r="A186" s="6">
        <v>43442.625162037039</v>
      </c>
      <c r="B186" s="7" t="str">
        <f t="shared" si="31"/>
        <v>@lextresabogados</v>
      </c>
      <c r="C186" s="8" t="s">
        <v>226</v>
      </c>
      <c r="D186" s="9" t="s">
        <v>865</v>
      </c>
      <c r="E186" s="10" t="str">
        <f>HYPERLINK("https://twitter.com/lextresabogados/status/1071404085037989888","1071404085037989888")</f>
        <v>1071404085037989888</v>
      </c>
      <c r="F186" s="11" t="s">
        <v>866</v>
      </c>
      <c r="G186" s="11" t="s">
        <v>868</v>
      </c>
      <c r="H186" s="12"/>
      <c r="I186" s="13">
        <v>0</v>
      </c>
      <c r="J186" s="13">
        <v>0</v>
      </c>
      <c r="K186" s="14" t="str">
        <f t="shared" si="32"/>
        <v>botize nueva</v>
      </c>
      <c r="L186" s="13">
        <v>2912</v>
      </c>
      <c r="M186" s="13">
        <v>3525</v>
      </c>
      <c r="N186" s="13">
        <v>26</v>
      </c>
      <c r="O186" s="15"/>
      <c r="P186" s="6">
        <v>42880.770949074074</v>
      </c>
      <c r="Q186" s="16" t="s">
        <v>230</v>
      </c>
      <c r="R186" s="17" t="s">
        <v>231</v>
      </c>
      <c r="S186" s="11" t="s">
        <v>232</v>
      </c>
      <c r="T186" s="12"/>
      <c r="U186" s="10" t="str">
        <f t="shared" si="33"/>
        <v>View</v>
      </c>
    </row>
    <row r="187" spans="1:21" ht="30.6">
      <c r="A187" s="6">
        <v>43442.624791666662</v>
      </c>
      <c r="B187" s="7" t="str">
        <f>HYPERLINK("https://twitter.com/periodicovzlano","@periodicovzlano")</f>
        <v>@periodicovzlano</v>
      </c>
      <c r="C187" s="8" t="s">
        <v>869</v>
      </c>
      <c r="D187" s="9" t="s">
        <v>714</v>
      </c>
      <c r="E187" s="10" t="str">
        <f>HYPERLINK("https://twitter.com/periodicovzlano/status/1071403952124645376","1071403952124645376")</f>
        <v>1071403952124645376</v>
      </c>
      <c r="F187" s="11" t="s">
        <v>737</v>
      </c>
      <c r="G187" s="11" t="s">
        <v>870</v>
      </c>
      <c r="H187" s="12"/>
      <c r="I187" s="13">
        <v>0</v>
      </c>
      <c r="J187" s="13">
        <v>0</v>
      </c>
      <c r="K187" s="14" t="str">
        <f>HYPERLINK("http://epmundo.com","Tuiteo TOP EP (1)")</f>
        <v>Tuiteo TOP EP (1)</v>
      </c>
      <c r="L187" s="13">
        <v>479694</v>
      </c>
      <c r="M187" s="13">
        <v>358804</v>
      </c>
      <c r="N187" s="13">
        <v>1295</v>
      </c>
      <c r="O187" s="15"/>
      <c r="P187" s="6">
        <v>40663.3512962963</v>
      </c>
      <c r="Q187" s="16" t="s">
        <v>871</v>
      </c>
      <c r="R187" s="17" t="s">
        <v>872</v>
      </c>
      <c r="S187" s="11" t="s">
        <v>873</v>
      </c>
      <c r="T187" s="12"/>
      <c r="U187" s="10" t="str">
        <f>HYPERLINK("https://pbs.twimg.com/profile_images/958328579250638849/MCz7Q8U6.jpg","View")</f>
        <v>View</v>
      </c>
    </row>
    <row r="188" spans="1:21" ht="40.799999999999997">
      <c r="A188" s="6">
        <v>43442.624328703707</v>
      </c>
      <c r="B188" s="7" t="str">
        <f>HYPERLINK("https://twitter.com/expansioncom","@expansioncom")</f>
        <v>@expansioncom</v>
      </c>
      <c r="C188" s="8" t="s">
        <v>874</v>
      </c>
      <c r="D188" s="9" t="s">
        <v>865</v>
      </c>
      <c r="E188" s="10" t="str">
        <f>HYPERLINK("https://twitter.com/expansioncom/status/1071403782251130880","1071403782251130880")</f>
        <v>1071403782251130880</v>
      </c>
      <c r="F188" s="11" t="s">
        <v>866</v>
      </c>
      <c r="G188" s="11" t="s">
        <v>875</v>
      </c>
      <c r="H188" s="12"/>
      <c r="I188" s="13">
        <v>3</v>
      </c>
      <c r="J188" s="13">
        <v>2</v>
      </c>
      <c r="K188" s="14" t="str">
        <f>HYPERLINK("https://buffer.com","Buffer")</f>
        <v>Buffer</v>
      </c>
      <c r="L188" s="13">
        <v>713008</v>
      </c>
      <c r="M188" s="13">
        <v>281</v>
      </c>
      <c r="N188" s="13">
        <v>9868</v>
      </c>
      <c r="O188" s="18" t="s">
        <v>41</v>
      </c>
      <c r="P188" s="6">
        <v>39597.465937499997</v>
      </c>
      <c r="Q188" s="16" t="s">
        <v>60</v>
      </c>
      <c r="R188" s="17" t="s">
        <v>876</v>
      </c>
      <c r="S188" s="11" t="s">
        <v>877</v>
      </c>
      <c r="T188" s="12"/>
      <c r="U188" s="10" t="str">
        <f>HYPERLINK("https://pbs.twimg.com/profile_images/580307398012870656/EcHhO0Lq.jpg","View")</f>
        <v>View</v>
      </c>
    </row>
    <row r="189" spans="1:21" ht="40.799999999999997">
      <c r="A189" s="6">
        <v>43442.624178240745</v>
      </c>
      <c r="B189" s="7" t="str">
        <f>HYPERLINK("https://twitter.com/jatirado","@jatirado")</f>
        <v>@jatirado</v>
      </c>
      <c r="C189" s="8" t="s">
        <v>196</v>
      </c>
      <c r="D189" s="9" t="s">
        <v>878</v>
      </c>
      <c r="E189" s="10" t="str">
        <f>HYPERLINK("https://twitter.com/jatirado/status/1071403730736541698","1071403730736541698")</f>
        <v>1071403730736541698</v>
      </c>
      <c r="F189" s="11" t="s">
        <v>879</v>
      </c>
      <c r="G189" s="11" t="s">
        <v>880</v>
      </c>
      <c r="H189" s="12"/>
      <c r="I189" s="13">
        <v>0</v>
      </c>
      <c r="J189" s="13">
        <v>1</v>
      </c>
      <c r="K189" s="14" t="str">
        <f>HYPERLINK("https://dlvrit.com/","dlvr.it")</f>
        <v>dlvr.it</v>
      </c>
      <c r="L189" s="13">
        <v>81545</v>
      </c>
      <c r="M189" s="13">
        <v>49760</v>
      </c>
      <c r="N189" s="13">
        <v>1030</v>
      </c>
      <c r="O189" s="15"/>
      <c r="P189" s="6">
        <v>40353.552581018521</v>
      </c>
      <c r="Q189" s="16" t="s">
        <v>200</v>
      </c>
      <c r="R189" s="17" t="s">
        <v>201</v>
      </c>
      <c r="S189" s="11" t="s">
        <v>202</v>
      </c>
      <c r="T189" s="12"/>
      <c r="U189" s="10" t="str">
        <f>HYPERLINK("https://pbs.twimg.com/profile_images/485680559742791680/dg68o8vH.jpeg","View")</f>
        <v>View</v>
      </c>
    </row>
    <row r="190" spans="1:21" ht="51">
      <c r="A190" s="6">
        <v>43442.624085648145</v>
      </c>
      <c r="B190" s="7" t="str">
        <f>HYPERLINK("https://twitter.com/ciudadanorafa","@ciudadanorafa")</f>
        <v>@ciudadanorafa</v>
      </c>
      <c r="C190" s="8" t="s">
        <v>881</v>
      </c>
      <c r="D190" s="9" t="s">
        <v>882</v>
      </c>
      <c r="E190" s="10" t="str">
        <f>HYPERLINK("https://twitter.com/ciudadanorafa/status/1071403696116908037","1071403696116908037")</f>
        <v>1071403696116908037</v>
      </c>
      <c r="F190" s="16" t="s">
        <v>883</v>
      </c>
      <c r="G190" s="12"/>
      <c r="H190" s="12"/>
      <c r="I190" s="13">
        <v>1</v>
      </c>
      <c r="J190" s="13">
        <v>1</v>
      </c>
      <c r="K190" s="14" t="str">
        <f>HYPERLINK("http://twitter.com/download/android","Twitter for Android")</f>
        <v>Twitter for Android</v>
      </c>
      <c r="L190" s="13">
        <v>118</v>
      </c>
      <c r="M190" s="13">
        <v>170</v>
      </c>
      <c r="N190" s="13">
        <v>0</v>
      </c>
      <c r="O190" s="15"/>
      <c r="P190" s="6">
        <v>40710.398472222223</v>
      </c>
      <c r="Q190" s="16" t="s">
        <v>884</v>
      </c>
      <c r="R190" s="19"/>
      <c r="S190" s="12"/>
      <c r="T190" s="12"/>
      <c r="U190" s="10" t="str">
        <f>HYPERLINK("https://pbs.twimg.com/profile_images/1056122701734178816/W-21A9GK.jpg","View")</f>
        <v>View</v>
      </c>
    </row>
    <row r="191" spans="1:21" ht="20.399999999999999">
      <c r="A191" s="6">
        <v>43442.623842592591</v>
      </c>
      <c r="B191" s="7" t="str">
        <f>HYPERLINK("https://twitter.com/bajarebooks","@bajarebooks")</f>
        <v>@bajarebooks</v>
      </c>
      <c r="C191" s="8" t="s">
        <v>885</v>
      </c>
      <c r="D191" s="9" t="s">
        <v>886</v>
      </c>
      <c r="E191" s="10" t="str">
        <f>HYPERLINK("https://twitter.com/bajarebooks/status/1071403608736976896","1071403608736976896")</f>
        <v>1071403608736976896</v>
      </c>
      <c r="F191" s="11" t="s">
        <v>887</v>
      </c>
      <c r="G191" s="12"/>
      <c r="H191" s="12"/>
      <c r="I191" s="13">
        <v>0</v>
      </c>
      <c r="J191" s="13">
        <v>0</v>
      </c>
      <c r="K191" s="14" t="str">
        <f>HYPERLINK("http://www.bandini.com.ar/papyrefb2","PapyreFb2 Catalog")</f>
        <v>PapyreFb2 Catalog</v>
      </c>
      <c r="L191" s="13">
        <v>413</v>
      </c>
      <c r="M191" s="13">
        <v>613</v>
      </c>
      <c r="N191" s="13">
        <v>8</v>
      </c>
      <c r="O191" s="15"/>
      <c r="P191" s="6">
        <v>42313.900844907403</v>
      </c>
      <c r="Q191" s="16" t="s">
        <v>888</v>
      </c>
      <c r="R191" s="17" t="s">
        <v>889</v>
      </c>
      <c r="S191" s="11" t="s">
        <v>890</v>
      </c>
      <c r="T191" s="12"/>
      <c r="U191" s="10" t="str">
        <f>HYPERLINK("https://pbs.twimg.com/profile_images/689569683704541184/YP5a6c9V.jpg","View")</f>
        <v>View</v>
      </c>
    </row>
    <row r="192" spans="1:21" ht="30.6">
      <c r="A192" s="6">
        <v>43442.623530092591</v>
      </c>
      <c r="B192" s="7" t="str">
        <f>HYPERLINK("https://twitter.com/Noatxell","@Noatxell")</f>
        <v>@Noatxell</v>
      </c>
      <c r="C192" s="22" t="s">
        <v>891</v>
      </c>
      <c r="D192" s="9" t="s">
        <v>892</v>
      </c>
      <c r="E192" s="10" t="str">
        <f>HYPERLINK("https://twitter.com/Noatxell/status/1071403492579950594","1071403492579950594")</f>
        <v>1071403492579950594</v>
      </c>
      <c r="F192" s="11" t="s">
        <v>893</v>
      </c>
      <c r="G192" s="12"/>
      <c r="H192" s="12"/>
      <c r="I192" s="13">
        <v>0</v>
      </c>
      <c r="J192" s="13">
        <v>0</v>
      </c>
      <c r="K192" s="14" t="str">
        <f>HYPERLINK("http://twitter.com","Twitter Web Client")</f>
        <v>Twitter Web Client</v>
      </c>
      <c r="L192" s="13">
        <v>2002</v>
      </c>
      <c r="M192" s="13">
        <v>2031</v>
      </c>
      <c r="N192" s="13">
        <v>150</v>
      </c>
      <c r="O192" s="15"/>
      <c r="P192" s="6">
        <v>41882.744097222225</v>
      </c>
      <c r="Q192" s="16" t="s">
        <v>60</v>
      </c>
      <c r="R192" s="17" t="s">
        <v>894</v>
      </c>
      <c r="S192" s="12"/>
      <c r="T192" s="12"/>
      <c r="U192" s="10" t="str">
        <f>HYPERLINK("https://pbs.twimg.com/profile_images/905522249683406849/qbqnxesd.jpg","View")</f>
        <v>View</v>
      </c>
    </row>
    <row r="193" spans="1:21" ht="40.799999999999997">
      <c r="A193" s="6">
        <v>43442.62299768519</v>
      </c>
      <c r="B193" s="7" t="str">
        <f>HYPERLINK("https://twitter.com/cristinamardon6","@cristinamardon6")</f>
        <v>@cristinamardon6</v>
      </c>
      <c r="C193" s="8" t="s">
        <v>895</v>
      </c>
      <c r="D193" s="9" t="s">
        <v>896</v>
      </c>
      <c r="E193" s="10" t="str">
        <f>HYPERLINK("https://twitter.com/cristinamardon6/status/1071403303555252226","1071403303555252226")</f>
        <v>1071403303555252226</v>
      </c>
      <c r="F193" s="12"/>
      <c r="G193" s="12"/>
      <c r="H193" s="12"/>
      <c r="I193" s="13">
        <v>0</v>
      </c>
      <c r="J193" s="13">
        <v>0</v>
      </c>
      <c r="K193" s="14" t="str">
        <f>HYPERLINK("https://mobile.twitter.com","Twitter Lite")</f>
        <v>Twitter Lite</v>
      </c>
      <c r="L193" s="13">
        <v>7</v>
      </c>
      <c r="M193" s="13">
        <v>41</v>
      </c>
      <c r="N193" s="13">
        <v>0</v>
      </c>
      <c r="O193" s="15"/>
      <c r="P193" s="6">
        <v>41668.328819444447</v>
      </c>
      <c r="Q193" s="16" t="s">
        <v>325</v>
      </c>
      <c r="R193" s="19"/>
      <c r="S193" s="12"/>
      <c r="T193" s="12"/>
      <c r="U193" s="18" t="s">
        <v>67</v>
      </c>
    </row>
    <row r="194" spans="1:21" ht="40.799999999999997">
      <c r="A194" s="6">
        <v>43442.621967592597</v>
      </c>
      <c r="B194" s="7" t="str">
        <f>HYPERLINK("https://twitter.com/rubricturf","@rubricturf")</f>
        <v>@rubricturf</v>
      </c>
      <c r="C194" s="8" t="s">
        <v>897</v>
      </c>
      <c r="D194" s="9" t="s">
        <v>898</v>
      </c>
      <c r="E194" s="10" t="str">
        <f>HYPERLINK("https://twitter.com/rubricturf/status/1071402928894824448","1071402928894824448")</f>
        <v>1071402928894824448</v>
      </c>
      <c r="F194" s="12"/>
      <c r="G194" s="12"/>
      <c r="H194" s="12"/>
      <c r="I194" s="13">
        <v>1</v>
      </c>
      <c r="J194" s="13">
        <v>3</v>
      </c>
      <c r="K194" s="14" t="str">
        <f t="shared" ref="K194:K196" si="34">HYPERLINK("http://twitter.com/download/android","Twitter for Android")</f>
        <v>Twitter for Android</v>
      </c>
      <c r="L194" s="13">
        <v>430</v>
      </c>
      <c r="M194" s="13">
        <v>269</v>
      </c>
      <c r="N194" s="13">
        <v>12</v>
      </c>
      <c r="O194" s="15"/>
      <c r="P194" s="6">
        <v>40661.759826388887</v>
      </c>
      <c r="Q194" s="16" t="s">
        <v>899</v>
      </c>
      <c r="R194" s="17" t="s">
        <v>900</v>
      </c>
      <c r="S194" s="12"/>
      <c r="T194" s="12"/>
      <c r="U194" s="10" t="str">
        <f>HYPERLINK("https://pbs.twimg.com/profile_images/568091980245512192/NWDbyV87.jpeg","View")</f>
        <v>View</v>
      </c>
    </row>
    <row r="195" spans="1:21" ht="51">
      <c r="A195" s="6">
        <v>43442.620937500003</v>
      </c>
      <c r="B195" s="7" t="str">
        <f>HYPERLINK("https://twitter.com/Verdad_Spain","@Verdad_Spain")</f>
        <v>@Verdad_Spain</v>
      </c>
      <c r="C195" s="8" t="s">
        <v>901</v>
      </c>
      <c r="D195" s="9" t="s">
        <v>902</v>
      </c>
      <c r="E195" s="10" t="str">
        <f>HYPERLINK("https://twitter.com/Verdad_Spain/status/1071402555840872448","1071402555840872448")</f>
        <v>1071402555840872448</v>
      </c>
      <c r="F195" s="12"/>
      <c r="G195" s="12"/>
      <c r="H195" s="12"/>
      <c r="I195" s="13">
        <v>0</v>
      </c>
      <c r="J195" s="13">
        <v>0</v>
      </c>
      <c r="K195" s="14" t="str">
        <f t="shared" si="34"/>
        <v>Twitter for Android</v>
      </c>
      <c r="L195" s="13">
        <v>362</v>
      </c>
      <c r="M195" s="13">
        <v>348</v>
      </c>
      <c r="N195" s="13">
        <v>36</v>
      </c>
      <c r="O195" s="15"/>
      <c r="P195" s="6">
        <v>41429.49763888889</v>
      </c>
      <c r="Q195" s="16" t="s">
        <v>903</v>
      </c>
      <c r="R195" s="17" t="s">
        <v>904</v>
      </c>
      <c r="S195" s="12"/>
      <c r="T195" s="12"/>
      <c r="U195" s="10" t="str">
        <f>HYPERLINK("https://pbs.twimg.com/profile_images/755093864906653696/s7kX2pna.jpg","View")</f>
        <v>View</v>
      </c>
    </row>
    <row r="196" spans="1:21" ht="20.399999999999999">
      <c r="A196" s="6">
        <v>43442.620856481481</v>
      </c>
      <c r="B196" s="7" t="str">
        <f>HYPERLINK("https://twitter.com/ARREBULLADO","@ARREBULLADO")</f>
        <v>@ARREBULLADO</v>
      </c>
      <c r="C196" s="8" t="s">
        <v>905</v>
      </c>
      <c r="D196" s="9" t="s">
        <v>906</v>
      </c>
      <c r="E196" s="10" t="str">
        <f>HYPERLINK("https://twitter.com/ARREBULLADO/status/1071402526493290496","1071402526493290496")</f>
        <v>1071402526493290496</v>
      </c>
      <c r="F196" s="11" t="s">
        <v>907</v>
      </c>
      <c r="G196" s="12"/>
      <c r="H196" s="12"/>
      <c r="I196" s="13">
        <v>0</v>
      </c>
      <c r="J196" s="13">
        <v>0</v>
      </c>
      <c r="K196" s="14" t="str">
        <f t="shared" si="34"/>
        <v>Twitter for Android</v>
      </c>
      <c r="L196" s="13">
        <v>316</v>
      </c>
      <c r="M196" s="13">
        <v>292</v>
      </c>
      <c r="N196" s="13">
        <v>3</v>
      </c>
      <c r="O196" s="15"/>
      <c r="P196" s="6">
        <v>40656.45590277778</v>
      </c>
      <c r="Q196" s="16" t="s">
        <v>60</v>
      </c>
      <c r="R196" s="17" t="s">
        <v>908</v>
      </c>
      <c r="S196" s="12"/>
      <c r="T196" s="12"/>
      <c r="U196" s="10" t="str">
        <f>HYPERLINK("https://pbs.twimg.com/profile_images/975421971331801089/tSqoWy9q.jpg","View")</f>
        <v>View</v>
      </c>
    </row>
    <row r="197" spans="1:21" ht="30.6">
      <c r="A197" s="6">
        <v>43442.618703703702</v>
      </c>
      <c r="B197" s="7" t="str">
        <f>HYPERLINK("https://twitter.com/EFEnoticias","@EFEnoticias")</f>
        <v>@EFEnoticias</v>
      </c>
      <c r="C197" s="8" t="s">
        <v>909</v>
      </c>
      <c r="D197" s="9" t="s">
        <v>719</v>
      </c>
      <c r="E197" s="10" t="str">
        <f>HYPERLINK("https://twitter.com/EFEnoticias/status/1071401745593626630","1071401745593626630")</f>
        <v>1071401745593626630</v>
      </c>
      <c r="F197" s="12"/>
      <c r="G197" s="12"/>
      <c r="H197" s="12"/>
      <c r="I197" s="13">
        <v>10</v>
      </c>
      <c r="J197" s="13">
        <v>24</v>
      </c>
      <c r="K197" s="14" t="str">
        <f>HYPERLINK("https://about.twitter.com/products/tweetdeck","TweetDeck")</f>
        <v>TweetDeck</v>
      </c>
      <c r="L197" s="13">
        <v>1431878</v>
      </c>
      <c r="M197" s="13">
        <v>63</v>
      </c>
      <c r="N197" s="13">
        <v>16785</v>
      </c>
      <c r="O197" s="18" t="s">
        <v>41</v>
      </c>
      <c r="P197" s="6">
        <v>40193.420092592591</v>
      </c>
      <c r="Q197" s="16" t="s">
        <v>200</v>
      </c>
      <c r="R197" s="17" t="s">
        <v>910</v>
      </c>
      <c r="S197" s="11" t="s">
        <v>911</v>
      </c>
      <c r="T197" s="12"/>
      <c r="U197" s="10" t="str">
        <f>HYPERLINK("https://pbs.twimg.com/profile_images/930868073464320000/r4PAby_1.jpg","View")</f>
        <v>View</v>
      </c>
    </row>
    <row r="198" spans="1:21" ht="30.6">
      <c r="A198" s="6">
        <v>43442.618472222224</v>
      </c>
      <c r="B198" s="7" t="str">
        <f>HYPERLINK("https://twitter.com/samuelrosesfe","@samuelrosesfe")</f>
        <v>@samuelrosesfe</v>
      </c>
      <c r="C198" s="8" t="s">
        <v>912</v>
      </c>
      <c r="D198" s="9" t="s">
        <v>913</v>
      </c>
      <c r="E198" s="10" t="str">
        <f>HYPERLINK("https://twitter.com/samuelrosesfe/status/1071401662621908992","1071401662621908992")</f>
        <v>1071401662621908992</v>
      </c>
      <c r="F198" s="16" t="s">
        <v>914</v>
      </c>
      <c r="G198" s="12"/>
      <c r="H198" s="12"/>
      <c r="I198" s="13">
        <v>0</v>
      </c>
      <c r="J198" s="13">
        <v>1</v>
      </c>
      <c r="K198" s="14" t="str">
        <f>HYPERLINK("http://twitter.com/download/iphone","Twitter for iPhone")</f>
        <v>Twitter for iPhone</v>
      </c>
      <c r="L198" s="13">
        <v>63</v>
      </c>
      <c r="M198" s="13">
        <v>118</v>
      </c>
      <c r="N198" s="13">
        <v>2</v>
      </c>
      <c r="O198" s="15"/>
      <c r="P198" s="6">
        <v>40325.550613425927</v>
      </c>
      <c r="Q198" s="12"/>
      <c r="R198" s="19"/>
      <c r="S198" s="12"/>
      <c r="T198" s="12"/>
      <c r="U198" s="10" t="str">
        <f>HYPERLINK("https://pbs.twimg.com/profile_images/3119883542/d7973f53b636debb2e6ccc9df6675512.jpeg","View")</f>
        <v>View</v>
      </c>
    </row>
    <row r="199" spans="1:21" ht="30.6">
      <c r="A199" s="6">
        <v>43442.61819444444</v>
      </c>
      <c r="B199" s="7" t="str">
        <f>HYPERLINK("https://twitter.com/CarlosA52510217","@CarlosA52510217")</f>
        <v>@CarlosA52510217</v>
      </c>
      <c r="C199" s="8" t="s">
        <v>915</v>
      </c>
      <c r="D199" s="9" t="s">
        <v>916</v>
      </c>
      <c r="E199" s="10" t="str">
        <f>HYPERLINK("https://twitter.com/CarlosA52510217/status/1071401559836295168","1071401559836295168")</f>
        <v>1071401559836295168</v>
      </c>
      <c r="F199" s="11" t="s">
        <v>917</v>
      </c>
      <c r="G199" s="12"/>
      <c r="H199" s="12"/>
      <c r="I199" s="13">
        <v>0</v>
      </c>
      <c r="J199" s="13">
        <v>0</v>
      </c>
      <c r="K199" s="14" t="str">
        <f>HYPERLINK("http://twitter.com/download/android","Twitter for Android")</f>
        <v>Twitter for Android</v>
      </c>
      <c r="L199" s="13">
        <v>1</v>
      </c>
      <c r="M199" s="13">
        <v>19</v>
      </c>
      <c r="N199" s="13">
        <v>0</v>
      </c>
      <c r="O199" s="15"/>
      <c r="P199" s="6">
        <v>43407.698240740741</v>
      </c>
      <c r="Q199" s="12"/>
      <c r="R199" s="19"/>
      <c r="S199" s="12"/>
      <c r="T199" s="12"/>
      <c r="U199" s="10" t="str">
        <f>HYPERLINK("https://pbs.twimg.com/profile_images/1058747215328485377/xByyGPwd.jpg","View")</f>
        <v>View</v>
      </c>
    </row>
    <row r="200" spans="1:21" ht="40.799999999999997">
      <c r="A200" s="6">
        <v>43442.6168287037</v>
      </c>
      <c r="B200" s="7" t="str">
        <f>HYPERLINK("https://twitter.com/don_Diario","@don_Diario")</f>
        <v>@don_Diario</v>
      </c>
      <c r="C200" s="20" t="s">
        <v>72</v>
      </c>
      <c r="D200" s="9" t="s">
        <v>918</v>
      </c>
      <c r="E200" s="10" t="str">
        <f>HYPERLINK("https://twitter.com/don_Diario/status/1071401065671737344","1071401065671737344")</f>
        <v>1071401065671737344</v>
      </c>
      <c r="F200" s="11" t="s">
        <v>919</v>
      </c>
      <c r="G200" s="11" t="s">
        <v>920</v>
      </c>
      <c r="H200" s="12"/>
      <c r="I200" s="13">
        <v>0</v>
      </c>
      <c r="J200" s="13">
        <v>0</v>
      </c>
      <c r="K200" s="14" t="str">
        <f>HYPERLINK("https://about.twitter.com/products/tweetdeck","TweetDeck")</f>
        <v>TweetDeck</v>
      </c>
      <c r="L200" s="13">
        <v>47715</v>
      </c>
      <c r="M200" s="13">
        <v>92</v>
      </c>
      <c r="N200" s="13">
        <v>1334</v>
      </c>
      <c r="O200" s="15"/>
      <c r="P200" s="6">
        <v>39911.462465277778</v>
      </c>
      <c r="Q200" s="16" t="s">
        <v>60</v>
      </c>
      <c r="R200" s="17" t="s">
        <v>79</v>
      </c>
      <c r="S200" s="11" t="s">
        <v>80</v>
      </c>
      <c r="T200" s="12"/>
      <c r="U200" s="10" t="str">
        <f>HYPERLINK("https://pbs.twimg.com/profile_images/1048140162247675904/sLf5W_y0.jpg","View")</f>
        <v>View</v>
      </c>
    </row>
    <row r="201" spans="1:21" ht="40.799999999999997">
      <c r="A201" s="6">
        <v>43442.615937499999</v>
      </c>
      <c r="B201" s="7" t="str">
        <f>HYPERLINK("https://twitter.com/mmmbango","@mmmbango")</f>
        <v>@mmmbango</v>
      </c>
      <c r="C201" s="8" t="s">
        <v>921</v>
      </c>
      <c r="D201" s="9" t="s">
        <v>922</v>
      </c>
      <c r="E201" s="10" t="str">
        <f>HYPERLINK("https://twitter.com/mmmbango/status/1071400743419166721","1071400743419166721")</f>
        <v>1071400743419166721</v>
      </c>
      <c r="F201" s="11" t="s">
        <v>923</v>
      </c>
      <c r="G201" s="12"/>
      <c r="H201" s="12"/>
      <c r="I201" s="13">
        <v>1</v>
      </c>
      <c r="J201" s="13">
        <v>1</v>
      </c>
      <c r="K201" s="14" t="str">
        <f>HYPERLINK("http://twitter.com/download/android","Twitter for Android")</f>
        <v>Twitter for Android</v>
      </c>
      <c r="L201" s="13">
        <v>6691</v>
      </c>
      <c r="M201" s="13">
        <v>4488</v>
      </c>
      <c r="N201" s="13">
        <v>69</v>
      </c>
      <c r="O201" s="15"/>
      <c r="P201" s="6">
        <v>41521.720983796295</v>
      </c>
      <c r="Q201" s="16" t="s">
        <v>924</v>
      </c>
      <c r="R201" s="17" t="s">
        <v>925</v>
      </c>
      <c r="S201" s="11" t="s">
        <v>926</v>
      </c>
      <c r="T201" s="12"/>
      <c r="U201" s="10" t="str">
        <f>HYPERLINK("https://pbs.twimg.com/profile_images/855523465796964352/PuP44M-h.jpg","View")</f>
        <v>View</v>
      </c>
    </row>
    <row r="202" spans="1:21" ht="20.399999999999999">
      <c r="A202" s="6">
        <v>43442.615162037036</v>
      </c>
      <c r="B202" s="7" t="str">
        <f>HYPERLINK("https://twitter.com/Satanas_SS","@Satanas_SS")</f>
        <v>@Satanas_SS</v>
      </c>
      <c r="C202" s="8" t="s">
        <v>927</v>
      </c>
      <c r="D202" s="9" t="s">
        <v>928</v>
      </c>
      <c r="E202" s="10" t="str">
        <f>HYPERLINK("https://twitter.com/Satanas_SS/status/1071400461809434624","1071400461809434624")</f>
        <v>1071400461809434624</v>
      </c>
      <c r="F202" s="12"/>
      <c r="G202" s="11" t="s">
        <v>929</v>
      </c>
      <c r="H202" s="12"/>
      <c r="I202" s="13">
        <v>0</v>
      </c>
      <c r="J202" s="13">
        <v>0</v>
      </c>
      <c r="K202" s="14" t="str">
        <f>HYPERLINK("http://twitter.com","Twitter Web Client")</f>
        <v>Twitter Web Client</v>
      </c>
      <c r="L202" s="13">
        <v>317</v>
      </c>
      <c r="M202" s="13">
        <v>930</v>
      </c>
      <c r="N202" s="13">
        <v>3</v>
      </c>
      <c r="O202" s="15"/>
      <c r="P202" s="6">
        <v>40768.51462962963</v>
      </c>
      <c r="Q202" s="12"/>
      <c r="R202" s="17" t="s">
        <v>930</v>
      </c>
      <c r="S202" s="12"/>
      <c r="T202" s="12"/>
      <c r="U202" s="10" t="str">
        <f>HYPERLINK("https://pbs.twimg.com/profile_images/1064321314155048960/4RrJiYCJ.jpg","View")</f>
        <v>View</v>
      </c>
    </row>
    <row r="203" spans="1:21" ht="30.6">
      <c r="A203" s="6">
        <v>43442.612881944442</v>
      </c>
      <c r="B203" s="7" t="str">
        <f>HYPERLINK("https://twitter.com/AmerHoy","@AmerHoy")</f>
        <v>@AmerHoy</v>
      </c>
      <c r="C203" s="8" t="s">
        <v>932</v>
      </c>
      <c r="D203" s="9" t="s">
        <v>855</v>
      </c>
      <c r="E203" s="10" t="str">
        <f>HYPERLINK("https://twitter.com/AmerHoy/status/1071399636680622080","1071399636680622080")</f>
        <v>1071399636680622080</v>
      </c>
      <c r="F203" s="11" t="s">
        <v>934</v>
      </c>
      <c r="G203" s="11" t="s">
        <v>935</v>
      </c>
      <c r="H203" s="12"/>
      <c r="I203" s="13">
        <v>0</v>
      </c>
      <c r="J203" s="13">
        <v>0</v>
      </c>
      <c r="K203" s="14" t="str">
        <f>HYPERLINK("https://dlvrit.com/","dlvr.it")</f>
        <v>dlvr.it</v>
      </c>
      <c r="L203" s="13">
        <v>187</v>
      </c>
      <c r="M203" s="13">
        <v>356</v>
      </c>
      <c r="N203" s="13">
        <v>3</v>
      </c>
      <c r="O203" s="15"/>
      <c r="P203" s="6">
        <v>40512.88244212963</v>
      </c>
      <c r="Q203" s="16" t="s">
        <v>936</v>
      </c>
      <c r="R203" s="17" t="s">
        <v>937</v>
      </c>
      <c r="S203" s="11" t="s">
        <v>938</v>
      </c>
      <c r="T203" s="12"/>
      <c r="U203" s="10" t="str">
        <f>HYPERLINK("https://pbs.twimg.com/profile_images/608256845744996352/H8VQC3as.jpg","View")</f>
        <v>View</v>
      </c>
    </row>
    <row r="204" spans="1:21" ht="20.399999999999999">
      <c r="A204" s="6">
        <v>43442.612627314811</v>
      </c>
      <c r="B204" s="7" t="str">
        <f>HYPERLINK("https://twitter.com/SuperVeraz","@SuperVeraz")</f>
        <v>@SuperVeraz</v>
      </c>
      <c r="C204" s="8" t="s">
        <v>939</v>
      </c>
      <c r="D204" s="9" t="s">
        <v>714</v>
      </c>
      <c r="E204" s="10" t="str">
        <f>HYPERLINK("https://twitter.com/SuperVeraz/status/1071399543223304193","1071399543223304193")</f>
        <v>1071399543223304193</v>
      </c>
      <c r="F204" s="11" t="s">
        <v>715</v>
      </c>
      <c r="G204" s="11" t="s">
        <v>940</v>
      </c>
      <c r="H204" s="12"/>
      <c r="I204" s="13">
        <v>0</v>
      </c>
      <c r="J204" s="13">
        <v>0</v>
      </c>
      <c r="K204" s="14" t="str">
        <f>HYPERLINK("http://epmundo.com","Tuiteo TOP EP (3)")</f>
        <v>Tuiteo TOP EP (3)</v>
      </c>
      <c r="L204" s="13">
        <v>25111</v>
      </c>
      <c r="M204" s="13">
        <v>25017</v>
      </c>
      <c r="N204" s="13">
        <v>36</v>
      </c>
      <c r="O204" s="15"/>
      <c r="P204" s="6">
        <v>42316.960196759261</v>
      </c>
      <c r="Q204" s="12"/>
      <c r="R204" s="17" t="s">
        <v>941</v>
      </c>
      <c r="S204" s="12"/>
      <c r="T204" s="12"/>
      <c r="U204" s="10" t="str">
        <f>HYPERLINK("https://pbs.twimg.com/profile_images/913065497314422785/YFj9YjjH.jpg","View")</f>
        <v>View</v>
      </c>
    </row>
    <row r="205" spans="1:21" ht="51">
      <c r="A205" s="6">
        <v>43442.611412037033</v>
      </c>
      <c r="B205" s="7" t="str">
        <f>HYPERLINK("https://twitter.com/CsCantoria","@CsCantoria")</f>
        <v>@CsCantoria</v>
      </c>
      <c r="C205" s="8" t="s">
        <v>942</v>
      </c>
      <c r="D205" s="9" t="s">
        <v>943</v>
      </c>
      <c r="E205" s="10" t="str">
        <f>HYPERLINK("https://twitter.com/CsCantoria/status/1071399105287647233","1071399105287647233")</f>
        <v>1071399105287647233</v>
      </c>
      <c r="F205" s="12"/>
      <c r="G205" s="11" t="s">
        <v>944</v>
      </c>
      <c r="H205" s="12"/>
      <c r="I205" s="13">
        <v>1</v>
      </c>
      <c r="J205" s="13">
        <v>2</v>
      </c>
      <c r="K205" s="14" t="str">
        <f>HYPERLINK("http://twitter.com/download/iphone","Twitter for iPhone")</f>
        <v>Twitter for iPhone</v>
      </c>
      <c r="L205" s="13">
        <v>80</v>
      </c>
      <c r="M205" s="13">
        <v>190</v>
      </c>
      <c r="N205" s="13">
        <v>0</v>
      </c>
      <c r="O205" s="15"/>
      <c r="P205" s="6">
        <v>43361.571875000001</v>
      </c>
      <c r="Q205" s="12"/>
      <c r="R205" s="17" t="s">
        <v>945</v>
      </c>
      <c r="S205" s="12"/>
      <c r="T205" s="12"/>
      <c r="U205" s="10" t="str">
        <f>HYPERLINK("https://pbs.twimg.com/profile_images/1042354992940761088/tClLivcN.jpg","View")</f>
        <v>View</v>
      </c>
    </row>
    <row r="206" spans="1:21" ht="30.6">
      <c r="A206" s="6">
        <v>43442.611250000002</v>
      </c>
      <c r="B206" s="7" t="str">
        <f>HYPERLINK("https://twitter.com/alfredoacabal","@alfredoacabal")</f>
        <v>@alfredoacabal</v>
      </c>
      <c r="C206" s="8" t="s">
        <v>946</v>
      </c>
      <c r="D206" s="9" t="s">
        <v>947</v>
      </c>
      <c r="E206" s="10" t="str">
        <f>HYPERLINK("https://twitter.com/alfredoacabal/status/1071399044864503808","1071399044864503808")</f>
        <v>1071399044864503808</v>
      </c>
      <c r="F206" s="11" t="s">
        <v>948</v>
      </c>
      <c r="G206" s="12"/>
      <c r="H206" s="12"/>
      <c r="I206" s="13">
        <v>0</v>
      </c>
      <c r="J206" s="13">
        <v>0</v>
      </c>
      <c r="K206" s="14" t="str">
        <f>HYPERLINK("http://www.facebook.com/twitter","Facebook")</f>
        <v>Facebook</v>
      </c>
      <c r="L206" s="13">
        <v>90</v>
      </c>
      <c r="M206" s="13">
        <v>377</v>
      </c>
      <c r="N206" s="13">
        <v>8</v>
      </c>
      <c r="O206" s="15"/>
      <c r="P206" s="6">
        <v>40610.472569444442</v>
      </c>
      <c r="Q206" s="16" t="s">
        <v>949</v>
      </c>
      <c r="R206" s="17" t="s">
        <v>950</v>
      </c>
      <c r="S206" s="11" t="s">
        <v>951</v>
      </c>
      <c r="T206" s="12"/>
      <c r="U206" s="10" t="str">
        <f>HYPERLINK("https://pbs.twimg.com/profile_images/1020295880115617793/U7xOu6-h.jpg","View")</f>
        <v>View</v>
      </c>
    </row>
    <row r="207" spans="1:21" ht="30.6">
      <c r="A207" s="6">
        <v>43442.610393518524</v>
      </c>
      <c r="B207" s="7" t="str">
        <f>HYPERLINK("https://twitter.com/RogerdClari","@RogerdClari")</f>
        <v>@RogerdClari</v>
      </c>
      <c r="C207" s="8" t="s">
        <v>437</v>
      </c>
      <c r="D207" s="9" t="s">
        <v>952</v>
      </c>
      <c r="E207" s="10" t="str">
        <f>HYPERLINK("https://twitter.com/RogerdClari/status/1071398732493668353","1071398732493668353")</f>
        <v>1071398732493668353</v>
      </c>
      <c r="F207" s="11" t="s">
        <v>954</v>
      </c>
      <c r="G207" s="12"/>
      <c r="H207" s="12"/>
      <c r="I207" s="13">
        <v>1</v>
      </c>
      <c r="J207" s="13">
        <v>1</v>
      </c>
      <c r="K207" s="14" t="str">
        <f>HYPERLINK("http://twitter.com/download/android","Twitter for Android")</f>
        <v>Twitter for Android</v>
      </c>
      <c r="L207" s="13">
        <v>2492</v>
      </c>
      <c r="M207" s="13">
        <v>2277</v>
      </c>
      <c r="N207" s="13">
        <v>22</v>
      </c>
      <c r="O207" s="15"/>
      <c r="P207" s="6">
        <v>42115.826782407406</v>
      </c>
      <c r="Q207" s="16" t="s">
        <v>441</v>
      </c>
      <c r="R207" s="17" t="s">
        <v>442</v>
      </c>
      <c r="S207" s="12"/>
      <c r="T207" s="12"/>
      <c r="U207" s="10" t="str">
        <f>HYPERLINK("https://pbs.twimg.com/profile_images/613031209405403136/BCSuUFP-.jpg","View")</f>
        <v>View</v>
      </c>
    </row>
    <row r="208" spans="1:21" ht="40.799999999999997">
      <c r="A208" s="6">
        <v>43442.610347222224</v>
      </c>
      <c r="B208" s="7" t="str">
        <f>HYPERLINK("https://twitter.com/begoiportugal","@begoiportugal")</f>
        <v>@begoiportugal</v>
      </c>
      <c r="C208" s="8" t="s">
        <v>955</v>
      </c>
      <c r="D208" s="9" t="s">
        <v>956</v>
      </c>
      <c r="E208" s="10" t="str">
        <f>HYPERLINK("https://twitter.com/begoiportugal/status/1071398716655984640","1071398716655984640")</f>
        <v>1071398716655984640</v>
      </c>
      <c r="F208" s="12"/>
      <c r="G208" s="11" t="s">
        <v>957</v>
      </c>
      <c r="H208" s="12"/>
      <c r="I208" s="13">
        <v>0</v>
      </c>
      <c r="J208" s="13">
        <v>0</v>
      </c>
      <c r="K208" s="14" t="str">
        <f>HYPERLINK("http://twitter.com/download/iphone","Twitter for iPhone")</f>
        <v>Twitter for iPhone</v>
      </c>
      <c r="L208" s="13">
        <v>915</v>
      </c>
      <c r="M208" s="13">
        <v>1314</v>
      </c>
      <c r="N208" s="13">
        <v>22</v>
      </c>
      <c r="O208" s="15"/>
      <c r="P208" s="6">
        <v>41696.548495370371</v>
      </c>
      <c r="Q208" s="16" t="s">
        <v>623</v>
      </c>
      <c r="R208" s="17" t="s">
        <v>959</v>
      </c>
      <c r="S208" s="12"/>
      <c r="T208" s="12"/>
      <c r="U208" s="10" t="str">
        <f>HYPERLINK("https://pbs.twimg.com/profile_images/880592712440958978/KRDRt1I7.jpg","View")</f>
        <v>View</v>
      </c>
    </row>
    <row r="209" spans="1:21" ht="71.400000000000006">
      <c r="A209" s="6">
        <v>43442.609143518523</v>
      </c>
      <c r="B209" s="7" t="str">
        <f>HYPERLINK("https://twitter.com/RMDRFCi","@RMDRFCi")</f>
        <v>@RMDRFCi</v>
      </c>
      <c r="C209" s="8" t="s">
        <v>960</v>
      </c>
      <c r="D209" s="9" t="s">
        <v>961</v>
      </c>
      <c r="E209" s="10" t="str">
        <f>HYPERLINK("https://twitter.com/RMDRFCi/status/1071398280901394432","1071398280901394432")</f>
        <v>1071398280901394432</v>
      </c>
      <c r="F209" s="11" t="s">
        <v>931</v>
      </c>
      <c r="G209" s="11" t="s">
        <v>933</v>
      </c>
      <c r="H209" s="12"/>
      <c r="I209" s="13">
        <v>0</v>
      </c>
      <c r="J209" s="13">
        <v>0</v>
      </c>
      <c r="K209" s="14" t="str">
        <f>HYPERLINK("http://twitter.com/download/android","Twitter for Android")</f>
        <v>Twitter for Android</v>
      </c>
      <c r="L209" s="13">
        <v>330</v>
      </c>
      <c r="M209" s="13">
        <v>1215</v>
      </c>
      <c r="N209" s="13">
        <v>3</v>
      </c>
      <c r="O209" s="15"/>
      <c r="P209" s="6">
        <v>41874.979305555556</v>
      </c>
      <c r="Q209" s="16" t="s">
        <v>964</v>
      </c>
      <c r="R209" s="17" t="s">
        <v>965</v>
      </c>
      <c r="S209" s="12"/>
      <c r="T209" s="12"/>
      <c r="U209" s="10" t="str">
        <f>HYPERLINK("https://pbs.twimg.com/profile_images/763341640073416704/TgYfYFiV.jpg","View")</f>
        <v>View</v>
      </c>
    </row>
    <row r="210" spans="1:21" ht="30.6">
      <c r="A210" s="6">
        <v>43442.608935185184</v>
      </c>
      <c r="B210" s="7" t="str">
        <f>HYPERLINK("https://twitter.com/ENGINEER_28","@ENGINEER_28")</f>
        <v>@ENGINEER_28</v>
      </c>
      <c r="C210" s="8" t="s">
        <v>966</v>
      </c>
      <c r="D210" s="9" t="s">
        <v>967</v>
      </c>
      <c r="E210" s="10" t="str">
        <f>HYPERLINK("https://twitter.com/ENGINEER_28/status/1071398203755544577","1071398203755544577")</f>
        <v>1071398203755544577</v>
      </c>
      <c r="F210" s="12"/>
      <c r="G210" s="12"/>
      <c r="H210" s="12"/>
      <c r="I210" s="13">
        <v>2</v>
      </c>
      <c r="J210" s="13">
        <v>3</v>
      </c>
      <c r="K210" s="14" t="str">
        <f>HYPERLINK("http://twitter.com/#!/download/ipad","Twitter for iPad")</f>
        <v>Twitter for iPad</v>
      </c>
      <c r="L210" s="13">
        <v>5859</v>
      </c>
      <c r="M210" s="13">
        <v>2752</v>
      </c>
      <c r="N210" s="13">
        <v>86</v>
      </c>
      <c r="O210" s="15"/>
      <c r="P210" s="6">
        <v>40271.588877314818</v>
      </c>
      <c r="Q210" s="12"/>
      <c r="R210" s="17" t="s">
        <v>968</v>
      </c>
      <c r="S210" s="12"/>
      <c r="T210" s="12"/>
      <c r="U210" s="10" t="str">
        <f>HYPERLINK("https://pbs.twimg.com/profile_images/1069171213396787201/PFW_igss.jpg","View")</f>
        <v>View</v>
      </c>
    </row>
    <row r="211" spans="1:21" ht="40.799999999999997">
      <c r="A211" s="6">
        <v>43442.608657407407</v>
      </c>
      <c r="B211" s="7" t="str">
        <f>HYPERLINK("https://twitter.com/CulePorLogica","@CulePorLogica")</f>
        <v>@CulePorLogica</v>
      </c>
      <c r="C211" s="8" t="s">
        <v>970</v>
      </c>
      <c r="D211" s="9" t="s">
        <v>971</v>
      </c>
      <c r="E211" s="10" t="str">
        <f>HYPERLINK("https://twitter.com/CulePorLogica/status/1071398103348068352","1071398103348068352")</f>
        <v>1071398103348068352</v>
      </c>
      <c r="F211" s="12"/>
      <c r="G211" s="12"/>
      <c r="H211" s="12"/>
      <c r="I211" s="13">
        <v>3</v>
      </c>
      <c r="J211" s="13">
        <v>13</v>
      </c>
      <c r="K211" s="14" t="str">
        <f>HYPERLINK("http://twitter.com/download/iphone","Twitter for iPhone")</f>
        <v>Twitter for iPhone</v>
      </c>
      <c r="L211" s="13">
        <v>365</v>
      </c>
      <c r="M211" s="13">
        <v>245</v>
      </c>
      <c r="N211" s="13">
        <v>11</v>
      </c>
      <c r="O211" s="15"/>
      <c r="P211" s="6">
        <v>41482.840104166666</v>
      </c>
      <c r="Q211" s="12"/>
      <c r="R211" s="21" t="s">
        <v>972</v>
      </c>
      <c r="S211" s="12"/>
      <c r="T211" s="12"/>
      <c r="U211" s="10" t="str">
        <f>HYPERLINK("https://pbs.twimg.com/profile_images/875458854968061955/WrVfPtJk.jpg","View")</f>
        <v>View</v>
      </c>
    </row>
    <row r="212" spans="1:21" ht="20.399999999999999">
      <c r="A212" s="6">
        <v>43442.607488425929</v>
      </c>
      <c r="B212" s="7" t="str">
        <f>HYPERLINK("https://twitter.com/Ivan_Pietri","@Ivan_Pietri")</f>
        <v>@Ivan_Pietri</v>
      </c>
      <c r="C212" s="8" t="s">
        <v>973</v>
      </c>
      <c r="D212" s="9" t="s">
        <v>974</v>
      </c>
      <c r="E212" s="10" t="str">
        <f>HYPERLINK("https://twitter.com/Ivan_Pietri/status/1071397680289591296","1071397680289591296")</f>
        <v>1071397680289591296</v>
      </c>
      <c r="F212" s="11" t="s">
        <v>975</v>
      </c>
      <c r="G212" s="12"/>
      <c r="H212" s="12"/>
      <c r="I212" s="13">
        <v>3</v>
      </c>
      <c r="J212" s="13">
        <v>3</v>
      </c>
      <c r="K212" s="14" t="str">
        <f>HYPERLINK("http://twitter.com/download/android","Twitter for Android")</f>
        <v>Twitter for Android</v>
      </c>
      <c r="L212" s="13">
        <v>33325</v>
      </c>
      <c r="M212" s="13">
        <v>33251</v>
      </c>
      <c r="N212" s="13">
        <v>119</v>
      </c>
      <c r="O212" s="15"/>
      <c r="P212" s="6">
        <v>41374.792569444442</v>
      </c>
      <c r="Q212" s="16" t="s">
        <v>976</v>
      </c>
      <c r="R212" s="17" t="s">
        <v>977</v>
      </c>
      <c r="S212" s="11" t="s">
        <v>978</v>
      </c>
      <c r="T212" s="12"/>
      <c r="U212" s="10" t="str">
        <f>HYPERLINK("https://pbs.twimg.com/profile_images/617459660602372096/5DOvWcMM.jpg","View")</f>
        <v>View</v>
      </c>
    </row>
    <row r="213" spans="1:21" ht="40.799999999999997">
      <c r="A213" s="6">
        <v>43442.606840277775</v>
      </c>
      <c r="B213" s="7" t="str">
        <f>HYPERLINK("https://twitter.com/MangelicaPulido","@MangelicaPulido")</f>
        <v>@MangelicaPulido</v>
      </c>
      <c r="C213" s="8" t="s">
        <v>979</v>
      </c>
      <c r="D213" s="9" t="s">
        <v>980</v>
      </c>
      <c r="E213" s="10" t="str">
        <f>HYPERLINK("https://twitter.com/MangelicaPulido/status/1071397448545910785","1071397448545910785")</f>
        <v>1071397448545910785</v>
      </c>
      <c r="F213" s="11" t="s">
        <v>981</v>
      </c>
      <c r="G213" s="12"/>
      <c r="H213" s="12"/>
      <c r="I213" s="13">
        <v>2</v>
      </c>
      <c r="J213" s="13">
        <v>2</v>
      </c>
      <c r="K213" s="14" t="str">
        <f>HYPERLINK("http://twitter.com","Twitter Web Client")</f>
        <v>Twitter Web Client</v>
      </c>
      <c r="L213" s="13">
        <v>36</v>
      </c>
      <c r="M213" s="13">
        <v>157</v>
      </c>
      <c r="N213" s="13">
        <v>1</v>
      </c>
      <c r="O213" s="15"/>
      <c r="P213" s="6">
        <v>42401.554849537039</v>
      </c>
      <c r="Q213" s="12"/>
      <c r="R213" s="19"/>
      <c r="S213" s="12"/>
      <c r="T213" s="12"/>
      <c r="U213" s="10" t="str">
        <f>HYPERLINK("https://pbs.twimg.com/profile_images/999052191741628416/FUrP_dHv.jpg","View")</f>
        <v>View</v>
      </c>
    </row>
    <row r="214" spans="1:21" ht="40.799999999999997">
      <c r="A214" s="6">
        <v>43442.606539351851</v>
      </c>
      <c r="B214" s="7" t="str">
        <f t="shared" ref="B214:B215" si="35">HYPERLINK("https://twitter.com/MONTESQUIEU1956","@MONTESQUIEU1956")</f>
        <v>@MONTESQUIEU1956</v>
      </c>
      <c r="C214" s="8" t="s">
        <v>983</v>
      </c>
      <c r="D214" s="9" t="s">
        <v>31</v>
      </c>
      <c r="E214" s="10" t="str">
        <f>HYPERLINK("https://twitter.com/MONTESQUIEU1956/status/1071397335379443716","1071397335379443716")</f>
        <v>1071397335379443716</v>
      </c>
      <c r="F214" s="11" t="s">
        <v>984</v>
      </c>
      <c r="G214" s="12"/>
      <c r="H214" s="12"/>
      <c r="I214" s="13">
        <v>0</v>
      </c>
      <c r="J214" s="13">
        <v>0</v>
      </c>
      <c r="K214" s="14" t="str">
        <f>HYPERLINK("http://www.facebook.com/twitter","Facebook")</f>
        <v>Facebook</v>
      </c>
      <c r="L214" s="13">
        <v>17058</v>
      </c>
      <c r="M214" s="13">
        <v>18542</v>
      </c>
      <c r="N214" s="13">
        <v>499</v>
      </c>
      <c r="O214" s="15"/>
      <c r="P214" s="6">
        <v>40349.826168981483</v>
      </c>
      <c r="Q214" s="16" t="s">
        <v>987</v>
      </c>
      <c r="R214" s="17" t="s">
        <v>988</v>
      </c>
      <c r="S214" s="11" t="s">
        <v>989</v>
      </c>
      <c r="T214" s="12"/>
      <c r="U214" s="10" t="str">
        <f t="shared" ref="U214:U215" si="36">HYPERLINK("https://pbs.twimg.com/profile_images/1261600286/MONTESQUIEU.jpg","View")</f>
        <v>View</v>
      </c>
    </row>
    <row r="215" spans="1:21" ht="40.799999999999997">
      <c r="A215" s="6">
        <v>43442.606400462959</v>
      </c>
      <c r="B215" s="7" t="str">
        <f t="shared" si="35"/>
        <v>@MONTESQUIEU1956</v>
      </c>
      <c r="C215" s="8" t="s">
        <v>983</v>
      </c>
      <c r="D215" s="9" t="s">
        <v>31</v>
      </c>
      <c r="E215" s="10" t="str">
        <f>HYPERLINK("https://twitter.com/MONTESQUIEU1956/status/1071397285949509644","1071397285949509644")</f>
        <v>1071397285949509644</v>
      </c>
      <c r="F215" s="11" t="s">
        <v>990</v>
      </c>
      <c r="G215" s="12"/>
      <c r="H215" s="12"/>
      <c r="I215" s="13">
        <v>0</v>
      </c>
      <c r="J215" s="13">
        <v>0</v>
      </c>
      <c r="K215" s="14" t="str">
        <f t="shared" ref="K215:K216" si="37">HYPERLINK("http://twitter.com","Twitter Web Client")</f>
        <v>Twitter Web Client</v>
      </c>
      <c r="L215" s="13">
        <v>17058</v>
      </c>
      <c r="M215" s="13">
        <v>18542</v>
      </c>
      <c r="N215" s="13">
        <v>499</v>
      </c>
      <c r="O215" s="15"/>
      <c r="P215" s="6">
        <v>40349.826168981483</v>
      </c>
      <c r="Q215" s="16" t="s">
        <v>987</v>
      </c>
      <c r="R215" s="17" t="s">
        <v>988</v>
      </c>
      <c r="S215" s="11" t="s">
        <v>989</v>
      </c>
      <c r="T215" s="12"/>
      <c r="U215" s="10" t="str">
        <f t="shared" si="36"/>
        <v>View</v>
      </c>
    </row>
    <row r="216" spans="1:21" ht="30.6">
      <c r="A216" s="6">
        <v>43442.604895833334</v>
      </c>
      <c r="B216" s="7" t="str">
        <f>HYPERLINK("https://twitter.com/crealdigital","@crealdigital")</f>
        <v>@crealdigital</v>
      </c>
      <c r="C216" s="8" t="s">
        <v>991</v>
      </c>
      <c r="D216" s="9" t="s">
        <v>992</v>
      </c>
      <c r="E216" s="10" t="str">
        <f>HYPERLINK("https://twitter.com/crealdigital/status/1071396740178341888","1071396740178341888")</f>
        <v>1071396740178341888</v>
      </c>
      <c r="F216" s="11" t="s">
        <v>993</v>
      </c>
      <c r="G216" s="12"/>
      <c r="H216" s="12"/>
      <c r="I216" s="13">
        <v>0</v>
      </c>
      <c r="J216" s="13">
        <v>0</v>
      </c>
      <c r="K216" s="14" t="str">
        <f t="shared" si="37"/>
        <v>Twitter Web Client</v>
      </c>
      <c r="L216" s="13">
        <v>3019</v>
      </c>
      <c r="M216" s="13">
        <v>4871</v>
      </c>
      <c r="N216" s="13">
        <v>37</v>
      </c>
      <c r="O216" s="15"/>
      <c r="P216" s="6">
        <v>41330.777569444443</v>
      </c>
      <c r="Q216" s="12"/>
      <c r="R216" s="17" t="s">
        <v>994</v>
      </c>
      <c r="S216" s="11" t="s">
        <v>995</v>
      </c>
      <c r="T216" s="12"/>
      <c r="U216" s="10" t="str">
        <f>HYPERLINK("https://pbs.twimg.com/profile_images/672117474968666113/rQhZVp46.jpg","View")</f>
        <v>View</v>
      </c>
    </row>
    <row r="217" spans="1:21" ht="20.399999999999999">
      <c r="A217" s="6">
        <v>43442.604525462964</v>
      </c>
      <c r="B217" s="7" t="str">
        <f>HYPERLINK("https://twitter.com/JavierMambri","@JavierMambri")</f>
        <v>@JavierMambri</v>
      </c>
      <c r="C217" s="8" t="s">
        <v>996</v>
      </c>
      <c r="D217" s="9" t="s">
        <v>997</v>
      </c>
      <c r="E217" s="10" t="str">
        <f>HYPERLINK("https://twitter.com/JavierMambri/status/1071396608338731009","1071396608338731009")</f>
        <v>1071396608338731009</v>
      </c>
      <c r="F217" s="12"/>
      <c r="G217" s="12"/>
      <c r="H217" s="12"/>
      <c r="I217" s="13">
        <v>0</v>
      </c>
      <c r="J217" s="13">
        <v>0</v>
      </c>
      <c r="K217" s="14" t="str">
        <f t="shared" ref="K217:K218" si="38">HYPERLINK("http://twitter.com/download/android","Twitter for Android")</f>
        <v>Twitter for Android</v>
      </c>
      <c r="L217" s="13">
        <v>186</v>
      </c>
      <c r="M217" s="13">
        <v>156</v>
      </c>
      <c r="N217" s="13">
        <v>3</v>
      </c>
      <c r="O217" s="15"/>
      <c r="P217" s="6">
        <v>40311.670474537037</v>
      </c>
      <c r="Q217" s="16" t="s">
        <v>60</v>
      </c>
      <c r="R217" s="17" t="s">
        <v>998</v>
      </c>
      <c r="S217" s="12"/>
      <c r="T217" s="12"/>
      <c r="U217" s="10" t="str">
        <f>HYPERLINK("https://pbs.twimg.com/profile_images/773868994340192256/MWZUPTAC.jpg","View")</f>
        <v>View</v>
      </c>
    </row>
    <row r="218" spans="1:21" ht="40.799999999999997">
      <c r="A218" s="6">
        <v>43442.602638888886</v>
      </c>
      <c r="B218" s="7" t="str">
        <f>HYPERLINK("https://twitter.com/Marina87848174","@Marina87848174")</f>
        <v>@Marina87848174</v>
      </c>
      <c r="C218" s="8" t="s">
        <v>999</v>
      </c>
      <c r="D218" s="9" t="s">
        <v>1000</v>
      </c>
      <c r="E218" s="10" t="str">
        <f>HYPERLINK("https://twitter.com/Marina87848174/status/1071395923291488257","1071395923291488257")</f>
        <v>1071395923291488257</v>
      </c>
      <c r="F218" s="11" t="s">
        <v>1001</v>
      </c>
      <c r="G218" s="12"/>
      <c r="H218" s="12"/>
      <c r="I218" s="13">
        <v>1</v>
      </c>
      <c r="J218" s="13">
        <v>2</v>
      </c>
      <c r="K218" s="14" t="str">
        <f t="shared" si="38"/>
        <v>Twitter for Android</v>
      </c>
      <c r="L218" s="13">
        <v>86</v>
      </c>
      <c r="M218" s="13">
        <v>312</v>
      </c>
      <c r="N218" s="13">
        <v>1</v>
      </c>
      <c r="O218" s="15"/>
      <c r="P218" s="6">
        <v>43295.775717592594</v>
      </c>
      <c r="Q218" s="12"/>
      <c r="R218" s="17" t="s">
        <v>1002</v>
      </c>
      <c r="S218" s="12"/>
      <c r="T218" s="12"/>
      <c r="U218" s="10" t="str">
        <f>HYPERLINK("https://pbs.twimg.com/profile_images/1068190215179837440/us4x1LY6.jpg","View")</f>
        <v>View</v>
      </c>
    </row>
    <row r="219" spans="1:21" ht="20.399999999999999">
      <c r="A219" s="6">
        <v>43442.602233796293</v>
      </c>
      <c r="B219" s="7" t="str">
        <f t="shared" ref="B219:B220" si="39">HYPERLINK("https://twitter.com/Verandris","@Verandris")</f>
        <v>@Verandris</v>
      </c>
      <c r="C219" s="8" t="s">
        <v>1004</v>
      </c>
      <c r="D219" s="9" t="s">
        <v>1005</v>
      </c>
      <c r="E219" s="10" t="str">
        <f>HYPERLINK("https://twitter.com/Verandris/status/1071395778982141953","1071395778982141953")</f>
        <v>1071395778982141953</v>
      </c>
      <c r="F219" s="11" t="s">
        <v>1006</v>
      </c>
      <c r="G219" s="12"/>
      <c r="H219" s="12"/>
      <c r="I219" s="13">
        <v>0</v>
      </c>
      <c r="J219" s="13">
        <v>0</v>
      </c>
      <c r="K219" s="14" t="str">
        <f t="shared" ref="K219:K220" si="40">HYPERLINK("https://www.google.com/","Google")</f>
        <v>Google</v>
      </c>
      <c r="L219" s="13">
        <v>27</v>
      </c>
      <c r="M219" s="13">
        <v>81</v>
      </c>
      <c r="N219" s="13">
        <v>0</v>
      </c>
      <c r="O219" s="15"/>
      <c r="P219" s="6">
        <v>41502.027268518519</v>
      </c>
      <c r="Q219" s="12"/>
      <c r="R219" s="17" t="s">
        <v>1007</v>
      </c>
      <c r="S219" s="12"/>
      <c r="T219" s="12"/>
      <c r="U219" s="10" t="str">
        <f t="shared" ref="U219:U220" si="41">HYPERLINK("https://pbs.twimg.com/profile_images/378800000304694739/d5c9cb506d9655a3f441b57830ebff3b.png","View")</f>
        <v>View</v>
      </c>
    </row>
    <row r="220" spans="1:21" ht="20.399999999999999">
      <c r="A220" s="6">
        <v>43442.602233796293</v>
      </c>
      <c r="B220" s="7" t="str">
        <f t="shared" si="39"/>
        <v>@Verandris</v>
      </c>
      <c r="C220" s="8" t="s">
        <v>1004</v>
      </c>
      <c r="D220" s="9" t="s">
        <v>1005</v>
      </c>
      <c r="E220" s="10" t="str">
        <f>HYPERLINK("https://twitter.com/Verandris/status/1071395776172081153","1071395776172081153")</f>
        <v>1071395776172081153</v>
      </c>
      <c r="F220" s="11" t="s">
        <v>1006</v>
      </c>
      <c r="G220" s="12"/>
      <c r="H220" s="12"/>
      <c r="I220" s="13">
        <v>0</v>
      </c>
      <c r="J220" s="13">
        <v>0</v>
      </c>
      <c r="K220" s="14" t="str">
        <f t="shared" si="40"/>
        <v>Google</v>
      </c>
      <c r="L220" s="13">
        <v>27</v>
      </c>
      <c r="M220" s="13">
        <v>81</v>
      </c>
      <c r="N220" s="13">
        <v>0</v>
      </c>
      <c r="O220" s="15"/>
      <c r="P220" s="6">
        <v>41502.027268518519</v>
      </c>
      <c r="Q220" s="12"/>
      <c r="R220" s="17" t="s">
        <v>1007</v>
      </c>
      <c r="S220" s="12"/>
      <c r="T220" s="12"/>
      <c r="U220" s="10" t="str">
        <f t="shared" si="41"/>
        <v>View</v>
      </c>
    </row>
    <row r="221" spans="1:21" ht="40.799999999999997">
      <c r="A221" s="6">
        <v>43442.601342592592</v>
      </c>
      <c r="B221" s="7" t="str">
        <f>HYPERLINK("https://twitter.com/jmmangas9","@jmmangas9")</f>
        <v>@jmmangas9</v>
      </c>
      <c r="C221" s="8" t="s">
        <v>1008</v>
      </c>
      <c r="D221" s="9" t="s">
        <v>1009</v>
      </c>
      <c r="E221" s="10" t="str">
        <f>HYPERLINK("https://twitter.com/jmmangas9/status/1071395452912848896","1071395452912848896")</f>
        <v>1071395452912848896</v>
      </c>
      <c r="F221" s="12"/>
      <c r="G221" s="12"/>
      <c r="H221" s="12"/>
      <c r="I221" s="13">
        <v>0</v>
      </c>
      <c r="J221" s="13">
        <v>0</v>
      </c>
      <c r="K221" s="14" t="str">
        <f t="shared" ref="K221:K222" si="42">HYPERLINK("http://twitter.com/download/android","Twitter for Android")</f>
        <v>Twitter for Android</v>
      </c>
      <c r="L221" s="13">
        <v>142</v>
      </c>
      <c r="M221" s="13">
        <v>600</v>
      </c>
      <c r="N221" s="13">
        <v>0</v>
      </c>
      <c r="O221" s="15"/>
      <c r="P221" s="6">
        <v>42653.805300925931</v>
      </c>
      <c r="Q221" s="12"/>
      <c r="R221" s="17" t="s">
        <v>1010</v>
      </c>
      <c r="S221" s="12"/>
      <c r="T221" s="12"/>
      <c r="U221" s="10" t="str">
        <f>HYPERLINK("https://pbs.twimg.com/profile_images/786873792169672704/t_6tcg9V.jpg","View")</f>
        <v>View</v>
      </c>
    </row>
    <row r="222" spans="1:21" ht="30.6">
      <c r="A222" s="6">
        <v>43442.600937499999</v>
      </c>
      <c r="B222" s="7" t="str">
        <f>HYPERLINK("https://twitter.com/Carloscdto","@Carloscdto")</f>
        <v>@Carloscdto</v>
      </c>
      <c r="C222" s="8" t="s">
        <v>1011</v>
      </c>
      <c r="D222" s="9" t="s">
        <v>1012</v>
      </c>
      <c r="E222" s="10" t="str">
        <f>HYPERLINK("https://twitter.com/Carloscdto/status/1071395308607807488","1071395308607807488")</f>
        <v>1071395308607807488</v>
      </c>
      <c r="F222" s="12"/>
      <c r="G222" s="12"/>
      <c r="H222" s="12"/>
      <c r="I222" s="13">
        <v>0</v>
      </c>
      <c r="J222" s="13">
        <v>0</v>
      </c>
      <c r="K222" s="14" t="str">
        <f t="shared" si="42"/>
        <v>Twitter for Android</v>
      </c>
      <c r="L222" s="13">
        <v>538</v>
      </c>
      <c r="M222" s="13">
        <v>394</v>
      </c>
      <c r="N222" s="13">
        <v>21</v>
      </c>
      <c r="O222" s="15"/>
      <c r="P222" s="6">
        <v>40394.980856481481</v>
      </c>
      <c r="Q222" s="16" t="s">
        <v>1013</v>
      </c>
      <c r="R222" s="17" t="s">
        <v>1014</v>
      </c>
      <c r="S222" s="11" t="s">
        <v>1015</v>
      </c>
      <c r="T222" s="12"/>
      <c r="U222" s="10" t="str">
        <f>HYPERLINK("https://pbs.twimg.com/profile_images/982014666959392769/ErujurPd.jpg","View")</f>
        <v>View</v>
      </c>
    </row>
    <row r="223" spans="1:21" ht="20.399999999999999">
      <c r="A223" s="6">
        <v>43442.60020833333</v>
      </c>
      <c r="B223" s="7" t="str">
        <f>HYPERLINK("https://twitter.com/BGinart","@BGinart")</f>
        <v>@BGinart</v>
      </c>
      <c r="C223" s="8" t="s">
        <v>1016</v>
      </c>
      <c r="D223" s="9" t="s">
        <v>1017</v>
      </c>
      <c r="E223" s="10" t="str">
        <f>HYPERLINK("https://twitter.com/BGinart/status/1071395041476833286","1071395041476833286")</f>
        <v>1071395041476833286</v>
      </c>
      <c r="F223" s="12"/>
      <c r="G223" s="12"/>
      <c r="H223" s="12"/>
      <c r="I223" s="13">
        <v>0</v>
      </c>
      <c r="J223" s="13">
        <v>0</v>
      </c>
      <c r="K223" s="14" t="str">
        <f>HYPERLINK("https://mobile.twitter.com","Twitter Lite")</f>
        <v>Twitter Lite</v>
      </c>
      <c r="L223" s="13">
        <v>9</v>
      </c>
      <c r="M223" s="13">
        <v>29</v>
      </c>
      <c r="N223" s="13">
        <v>1</v>
      </c>
      <c r="O223" s="15"/>
      <c r="P223" s="6">
        <v>40977.511886574073</v>
      </c>
      <c r="Q223" s="16" t="s">
        <v>1018</v>
      </c>
      <c r="R223" s="19"/>
      <c r="S223" s="12"/>
      <c r="T223" s="12"/>
      <c r="U223" s="10" t="str">
        <f>HYPERLINK("https://pbs.twimg.com/profile_images/1069680373867667457/sxudrc1w.jpg","View")</f>
        <v>View</v>
      </c>
    </row>
    <row r="224" spans="1:21" ht="20.399999999999999">
      <c r="A224" s="6">
        <v>43442.59956018519</v>
      </c>
      <c r="B224" s="7" t="str">
        <f>HYPERLINK("https://twitter.com/Baldasare_","@Baldasare_")</f>
        <v>@Baldasare_</v>
      </c>
      <c r="C224" s="8" t="s">
        <v>1019</v>
      </c>
      <c r="D224" s="9" t="s">
        <v>1020</v>
      </c>
      <c r="E224" s="10" t="str">
        <f>HYPERLINK("https://twitter.com/Baldasare_/status/1071394809691234304","1071394809691234304")</f>
        <v>1071394809691234304</v>
      </c>
      <c r="F224" s="12"/>
      <c r="G224" s="11" t="s">
        <v>1021</v>
      </c>
      <c r="H224" s="12"/>
      <c r="I224" s="13">
        <v>18</v>
      </c>
      <c r="J224" s="13">
        <v>31</v>
      </c>
      <c r="K224" s="14" t="str">
        <f>HYPERLINK("http://twitter.com/download/android","Twitter for Android")</f>
        <v>Twitter for Android</v>
      </c>
      <c r="L224" s="13">
        <v>15157</v>
      </c>
      <c r="M224" s="13">
        <v>10436</v>
      </c>
      <c r="N224" s="13">
        <v>100</v>
      </c>
      <c r="O224" s="15"/>
      <c r="P224" s="6">
        <v>40681.536145833335</v>
      </c>
      <c r="Q224" s="16" t="s">
        <v>60</v>
      </c>
      <c r="R224" s="17" t="s">
        <v>1022</v>
      </c>
      <c r="S224" s="12"/>
      <c r="T224" s="12"/>
      <c r="U224" s="10" t="str">
        <f>HYPERLINK("https://pbs.twimg.com/profile_images/915157689914839040/66ESFrR4.jpg","View")</f>
        <v>View</v>
      </c>
    </row>
    <row r="225" spans="1:21" ht="61.2">
      <c r="A225" s="6">
        <v>43442.59946759259</v>
      </c>
      <c r="B225" s="7" t="str">
        <f>HYPERLINK("https://twitter.com/lfledesmasainz","@lfledesmasainz")</f>
        <v>@lfledesmasainz</v>
      </c>
      <c r="C225" s="8" t="s">
        <v>1023</v>
      </c>
      <c r="D225" s="9" t="s">
        <v>1024</v>
      </c>
      <c r="E225" s="10" t="str">
        <f>HYPERLINK("https://twitter.com/lfledesmasainz/status/1071394775549530118","1071394775549530118")</f>
        <v>1071394775549530118</v>
      </c>
      <c r="F225" s="16" t="s">
        <v>1025</v>
      </c>
      <c r="G225" s="12"/>
      <c r="H225" s="12"/>
      <c r="I225" s="13">
        <v>0</v>
      </c>
      <c r="J225" s="13">
        <v>0</v>
      </c>
      <c r="K225" s="14" t="str">
        <f>HYPERLINK("http://twitter.com","Twitter Web Client")</f>
        <v>Twitter Web Client</v>
      </c>
      <c r="L225" s="13">
        <v>702</v>
      </c>
      <c r="M225" s="13">
        <v>1260</v>
      </c>
      <c r="N225" s="13">
        <v>9</v>
      </c>
      <c r="O225" s="15"/>
      <c r="P225" s="6">
        <v>41693.103842592594</v>
      </c>
      <c r="Q225" s="16" t="s">
        <v>1026</v>
      </c>
      <c r="R225" s="17" t="s">
        <v>1027</v>
      </c>
      <c r="S225" s="12"/>
      <c r="T225" s="12"/>
      <c r="U225" s="10" t="str">
        <f>HYPERLINK("https://pbs.twimg.com/profile_images/556189513211314176/zzg0n8py.jpeg","View")</f>
        <v>View</v>
      </c>
    </row>
    <row r="226" spans="1:21" ht="51">
      <c r="A226" s="6">
        <v>43442.599398148144</v>
      </c>
      <c r="B226" s="7" t="str">
        <f>HYPERLINK("https://twitter.com/asanchezca","@asanchezca")</f>
        <v>@asanchezca</v>
      </c>
      <c r="C226" s="8" t="s">
        <v>1028</v>
      </c>
      <c r="D226" s="9" t="s">
        <v>1029</v>
      </c>
      <c r="E226" s="10" t="str">
        <f>HYPERLINK("https://twitter.com/asanchezca/status/1071394749796491264","1071394749796491264")</f>
        <v>1071394749796491264</v>
      </c>
      <c r="F226" s="12"/>
      <c r="G226" s="11" t="s">
        <v>1030</v>
      </c>
      <c r="H226" s="12"/>
      <c r="I226" s="13">
        <v>0</v>
      </c>
      <c r="J226" s="13">
        <v>0</v>
      </c>
      <c r="K226" s="14" t="str">
        <f t="shared" ref="K226:K227" si="43">HYPERLINK("http://twitter.com/download/android","Twitter for Android")</f>
        <v>Twitter for Android</v>
      </c>
      <c r="L226" s="13">
        <v>241</v>
      </c>
      <c r="M226" s="13">
        <v>222</v>
      </c>
      <c r="N226" s="13">
        <v>3</v>
      </c>
      <c r="O226" s="15"/>
      <c r="P226" s="6">
        <v>40598.734525462962</v>
      </c>
      <c r="Q226" s="16" t="s">
        <v>1031</v>
      </c>
      <c r="R226" s="17" t="s">
        <v>1032</v>
      </c>
      <c r="S226" s="12"/>
      <c r="T226" s="12"/>
      <c r="U226" s="10" t="str">
        <f>HYPERLINK("https://pbs.twimg.com/profile_images/720529126566817792/stqRKy2C.jpg","View")</f>
        <v>View</v>
      </c>
    </row>
    <row r="227" spans="1:21" ht="20.399999999999999">
      <c r="A227" s="6">
        <v>43442.598460648151</v>
      </c>
      <c r="B227" s="7" t="str">
        <f>HYPERLINK("https://twitter.com/Julianvirome","@Julianvirome")</f>
        <v>@Julianvirome</v>
      </c>
      <c r="C227" s="8" t="s">
        <v>1034</v>
      </c>
      <c r="D227" s="9" t="s">
        <v>1035</v>
      </c>
      <c r="E227" s="10" t="str">
        <f>HYPERLINK("https://twitter.com/Julianvirome/status/1071394408438878208","1071394408438878208")</f>
        <v>1071394408438878208</v>
      </c>
      <c r="F227" s="11" t="s">
        <v>1036</v>
      </c>
      <c r="G227" s="12"/>
      <c r="H227" s="12"/>
      <c r="I227" s="13">
        <v>0</v>
      </c>
      <c r="J227" s="13">
        <v>0</v>
      </c>
      <c r="K227" s="14" t="str">
        <f t="shared" si="43"/>
        <v>Twitter for Android</v>
      </c>
      <c r="L227" s="13">
        <v>2630</v>
      </c>
      <c r="M227" s="13">
        <v>4994</v>
      </c>
      <c r="N227" s="13">
        <v>23</v>
      </c>
      <c r="O227" s="15"/>
      <c r="P227" s="6">
        <v>40630.875810185185</v>
      </c>
      <c r="Q227" s="16" t="s">
        <v>200</v>
      </c>
      <c r="R227" s="17" t="s">
        <v>1037</v>
      </c>
      <c r="S227" s="12"/>
      <c r="T227" s="12"/>
      <c r="U227" s="10" t="str">
        <f>HYPERLINK("https://pbs.twimg.com/profile_images/1015475281803530241/aBROVKXy.jpg","View")</f>
        <v>View</v>
      </c>
    </row>
    <row r="228" spans="1:21" ht="20.399999999999999">
      <c r="A228" s="6">
        <v>43442.597685185188</v>
      </c>
      <c r="B228" s="7" t="str">
        <f>HYPERLINK("https://twitter.com/rcdlccom","@rcdlccom")</f>
        <v>@rcdlccom</v>
      </c>
      <c r="C228" s="20" t="s">
        <v>1039</v>
      </c>
      <c r="D228" s="9" t="s">
        <v>1040</v>
      </c>
      <c r="E228" s="10" t="str">
        <f>HYPERLINK("https://twitter.com/rcdlccom/status/1071394127479271424","1071394127479271424")</f>
        <v>1071394127479271424</v>
      </c>
      <c r="F228" s="12"/>
      <c r="G228" s="12"/>
      <c r="H228" s="12"/>
      <c r="I228" s="13">
        <v>0</v>
      </c>
      <c r="J228" s="13">
        <v>0</v>
      </c>
      <c r="K228" s="14" t="str">
        <f>HYPERLINK("https://about.twitter.com/products/tweetdeck","TweetDeck")</f>
        <v>TweetDeck</v>
      </c>
      <c r="L228" s="13">
        <v>5533</v>
      </c>
      <c r="M228" s="13">
        <v>413</v>
      </c>
      <c r="N228" s="13">
        <v>108</v>
      </c>
      <c r="O228" s="15"/>
      <c r="P228" s="6">
        <v>40633.172534722224</v>
      </c>
      <c r="Q228" s="16" t="s">
        <v>842</v>
      </c>
      <c r="R228" s="17" t="s">
        <v>1042</v>
      </c>
      <c r="S228" s="11" t="s">
        <v>1043</v>
      </c>
      <c r="T228" s="12"/>
      <c r="U228" s="10" t="str">
        <f>HYPERLINK("https://pbs.twimg.com/profile_images/459144183727390721/UKy6skHU.jpeg","View")</f>
        <v>View</v>
      </c>
    </row>
    <row r="229" spans="1:21" ht="51">
      <c r="A229" s="6">
        <v>43442.59584490741</v>
      </c>
      <c r="B229" s="7" t="str">
        <f>HYPERLINK("https://twitter.com/pgpnzalo1","@pgpnzalo1")</f>
        <v>@pgpnzalo1</v>
      </c>
      <c r="C229" s="8" t="s">
        <v>515</v>
      </c>
      <c r="D229" s="9" t="s">
        <v>1044</v>
      </c>
      <c r="E229" s="10" t="str">
        <f>HYPERLINK("https://twitter.com/pgpnzalo1/status/1071393462270996481","1071393462270996481")</f>
        <v>1071393462270996481</v>
      </c>
      <c r="F229" s="12"/>
      <c r="G229" s="11" t="s">
        <v>1045</v>
      </c>
      <c r="H229" s="12"/>
      <c r="I229" s="13">
        <v>2</v>
      </c>
      <c r="J229" s="13">
        <v>1</v>
      </c>
      <c r="K229" s="14" t="str">
        <f>HYPERLINK("http://twitter.com/#!/download/ipad","Twitter for iPad")</f>
        <v>Twitter for iPad</v>
      </c>
      <c r="L229" s="13">
        <v>2634</v>
      </c>
      <c r="M229" s="13">
        <v>1691</v>
      </c>
      <c r="N229" s="13">
        <v>14</v>
      </c>
      <c r="O229" s="15"/>
      <c r="P229" s="6">
        <v>42452.777962962966</v>
      </c>
      <c r="Q229" s="16" t="s">
        <v>517</v>
      </c>
      <c r="R229" s="17" t="s">
        <v>518</v>
      </c>
      <c r="S229" s="12"/>
      <c r="T229" s="12"/>
      <c r="U229" s="10" t="str">
        <f>HYPERLINK("https://pbs.twimg.com/profile_images/993298134901186561/A4h76s3b.jpg","View")</f>
        <v>View</v>
      </c>
    </row>
    <row r="230" spans="1:21" ht="30.6">
      <c r="A230" s="6">
        <v>43442.595451388886</v>
      </c>
      <c r="B230" s="7" t="str">
        <f>HYPERLINK("https://twitter.com/MaruxaHevia","@MaruxaHevia")</f>
        <v>@MaruxaHevia</v>
      </c>
      <c r="C230" s="8" t="s">
        <v>1046</v>
      </c>
      <c r="D230" s="9" t="s">
        <v>1047</v>
      </c>
      <c r="E230" s="10" t="str">
        <f>HYPERLINK("https://twitter.com/MaruxaHevia/status/1071393319282978818","1071393319282978818")</f>
        <v>1071393319282978818</v>
      </c>
      <c r="F230" s="11" t="s">
        <v>1048</v>
      </c>
      <c r="G230" s="12"/>
      <c r="H230" s="12"/>
      <c r="I230" s="13">
        <v>2</v>
      </c>
      <c r="J230" s="13">
        <v>2</v>
      </c>
      <c r="K230" s="14" t="str">
        <f>HYPERLINK("http://twitter.com/download/android","Twitter for Android")</f>
        <v>Twitter for Android</v>
      </c>
      <c r="L230" s="13">
        <v>1975</v>
      </c>
      <c r="M230" s="13">
        <v>322</v>
      </c>
      <c r="N230" s="13">
        <v>62</v>
      </c>
      <c r="O230" s="15"/>
      <c r="P230" s="6">
        <v>41474.682673611111</v>
      </c>
      <c r="Q230" s="12"/>
      <c r="R230" s="17" t="s">
        <v>1049</v>
      </c>
      <c r="S230" s="12"/>
      <c r="T230" s="12"/>
      <c r="U230" s="10" t="str">
        <f>HYPERLINK("https://pbs.twimg.com/profile_images/975823307307212801/mrNLfbBi.jpg","View")</f>
        <v>View</v>
      </c>
    </row>
    <row r="231" spans="1:21" ht="51">
      <c r="A231" s="6">
        <v>43442.594687500001</v>
      </c>
      <c r="B231" s="7" t="str">
        <f>HYPERLINK("https://twitter.com/BenemeritosGC","@BenemeritosGC")</f>
        <v>@BenemeritosGC</v>
      </c>
      <c r="C231" s="8" t="s">
        <v>1050</v>
      </c>
      <c r="D231" s="9" t="s">
        <v>1051</v>
      </c>
      <c r="E231" s="10" t="str">
        <f>HYPERLINK("https://twitter.com/BenemeritosGC/status/1071393042169499648","1071393042169499648")</f>
        <v>1071393042169499648</v>
      </c>
      <c r="F231" s="11" t="s">
        <v>1052</v>
      </c>
      <c r="G231" s="12"/>
      <c r="H231" s="12"/>
      <c r="I231" s="13">
        <v>23</v>
      </c>
      <c r="J231" s="13">
        <v>28</v>
      </c>
      <c r="K231" s="14" t="str">
        <f>HYPERLINK("http://twitter.com/download/iphone","Twitter for iPhone")</f>
        <v>Twitter for iPhone</v>
      </c>
      <c r="L231" s="13">
        <v>9468</v>
      </c>
      <c r="M231" s="13">
        <v>1130</v>
      </c>
      <c r="N231" s="13">
        <v>53</v>
      </c>
      <c r="O231" s="15"/>
      <c r="P231" s="6">
        <v>42711.052893518514</v>
      </c>
      <c r="Q231" s="16" t="s">
        <v>60</v>
      </c>
      <c r="R231" s="17" t="s">
        <v>1053</v>
      </c>
      <c r="S231" s="12"/>
      <c r="T231" s="12"/>
      <c r="U231" s="10" t="str">
        <f>HYPERLINK("https://pbs.twimg.com/profile_images/1056598210561622018/vIm4kuVL.jpg","View")</f>
        <v>View</v>
      </c>
    </row>
    <row r="232" spans="1:21" ht="40.799999999999997">
      <c r="A232" s="6">
        <v>43442.594537037032</v>
      </c>
      <c r="B232" s="7" t="str">
        <f>HYPERLINK("https://twitter.com/vozdecatalanes","@vozdecatalanes")</f>
        <v>@vozdecatalanes</v>
      </c>
      <c r="C232" s="8" t="s">
        <v>727</v>
      </c>
      <c r="D232" s="9" t="s">
        <v>1054</v>
      </c>
      <c r="E232" s="10" t="str">
        <f>HYPERLINK("https://twitter.com/vozdecatalanes/status/1071392987987480576","1071392987987480576")</f>
        <v>1071392987987480576</v>
      </c>
      <c r="F232" s="16" t="s">
        <v>44</v>
      </c>
      <c r="G232" s="12"/>
      <c r="H232" s="12"/>
      <c r="I232" s="13">
        <v>0</v>
      </c>
      <c r="J232" s="13">
        <v>1</v>
      </c>
      <c r="K232" s="14" t="str">
        <f>HYPERLINK("http://twitter.com/download/android","Twitter for Android")</f>
        <v>Twitter for Android</v>
      </c>
      <c r="L232" s="13">
        <v>4512</v>
      </c>
      <c r="M232" s="13">
        <v>3243</v>
      </c>
      <c r="N232" s="13">
        <v>57</v>
      </c>
      <c r="O232" s="15"/>
      <c r="P232" s="6">
        <v>42406.067476851851</v>
      </c>
      <c r="Q232" s="16" t="s">
        <v>87</v>
      </c>
      <c r="R232" s="17" t="s">
        <v>729</v>
      </c>
      <c r="S232" s="12"/>
      <c r="T232" s="12"/>
      <c r="U232" s="10" t="str">
        <f>HYPERLINK("https://pbs.twimg.com/profile_images/725079750570573824/-Ja81_U1.jpg","View")</f>
        <v>View</v>
      </c>
    </row>
    <row r="233" spans="1:21" ht="30.6">
      <c r="A233" s="6">
        <v>43442.594363425931</v>
      </c>
      <c r="B233" s="7" t="str">
        <f>HYPERLINK("https://twitter.com/andaluciainf","@andaluciainf")</f>
        <v>@andaluciainf</v>
      </c>
      <c r="C233" s="8" t="s">
        <v>1055</v>
      </c>
      <c r="D233" s="9" t="s">
        <v>1056</v>
      </c>
      <c r="E233" s="10" t="str">
        <f>HYPERLINK("https://twitter.com/andaluciainf/status/1071392923793743872","1071392923793743872")</f>
        <v>1071392923793743872</v>
      </c>
      <c r="F233" s="11" t="s">
        <v>1057</v>
      </c>
      <c r="G233" s="12"/>
      <c r="H233" s="12"/>
      <c r="I233" s="13">
        <v>0</v>
      </c>
      <c r="J233" s="13">
        <v>0</v>
      </c>
      <c r="K233" s="14" t="str">
        <f>HYPERLINK("http://www.facebook.com/twitter","Facebook")</f>
        <v>Facebook</v>
      </c>
      <c r="L233" s="13">
        <v>9774</v>
      </c>
      <c r="M233" s="13">
        <v>1189</v>
      </c>
      <c r="N233" s="13">
        <v>228</v>
      </c>
      <c r="O233" s="18" t="s">
        <v>41</v>
      </c>
      <c r="P233" s="6">
        <v>40578.595497685186</v>
      </c>
      <c r="Q233" s="16" t="s">
        <v>1058</v>
      </c>
      <c r="R233" s="17" t="s">
        <v>1059</v>
      </c>
      <c r="S233" s="11" t="s">
        <v>1060</v>
      </c>
      <c r="T233" s="12"/>
      <c r="U233" s="10" t="str">
        <f>HYPERLINK("https://pbs.twimg.com/profile_images/965685610949349377/ex_IDyS3.jpg","View")</f>
        <v>View</v>
      </c>
    </row>
    <row r="234" spans="1:21" ht="51">
      <c r="A234" s="6">
        <v>43442.594074074077</v>
      </c>
      <c r="B234" s="7" t="str">
        <f>HYPERLINK("https://twitter.com/Abierto_PP","@Abierto_PP")</f>
        <v>@Abierto_PP</v>
      </c>
      <c r="C234" s="8" t="s">
        <v>1061</v>
      </c>
      <c r="D234" s="9" t="s">
        <v>1062</v>
      </c>
      <c r="E234" s="10" t="str">
        <f>HYPERLINK("https://twitter.com/Abierto_PP/status/1071392820861251584","1071392820861251584")</f>
        <v>1071392820861251584</v>
      </c>
      <c r="F234" s="12"/>
      <c r="G234" s="11" t="s">
        <v>1063</v>
      </c>
      <c r="H234" s="12"/>
      <c r="I234" s="13">
        <v>0</v>
      </c>
      <c r="J234" s="13">
        <v>1</v>
      </c>
      <c r="K234" s="14" t="str">
        <f t="shared" ref="K234:K235" si="44">HYPERLINK("http://twitter.com/download/android","Twitter for Android")</f>
        <v>Twitter for Android</v>
      </c>
      <c r="L234" s="13">
        <v>526</v>
      </c>
      <c r="M234" s="13">
        <v>1124</v>
      </c>
      <c r="N234" s="13">
        <v>2</v>
      </c>
      <c r="O234" s="15"/>
      <c r="P234" s="6">
        <v>43275.910474537042</v>
      </c>
      <c r="Q234" s="16" t="s">
        <v>60</v>
      </c>
      <c r="R234" s="17" t="s">
        <v>1064</v>
      </c>
      <c r="S234" s="11" t="s">
        <v>1065</v>
      </c>
      <c r="T234" s="12"/>
      <c r="U234" s="10" t="str">
        <f>HYPERLINK("https://pbs.twimg.com/profile_images/1047545446925778944/Dh78YVga.jpg","View")</f>
        <v>View</v>
      </c>
    </row>
    <row r="235" spans="1:21" ht="30.6">
      <c r="A235" s="6">
        <v>43442.593912037039</v>
      </c>
      <c r="B235" s="7" t="str">
        <f>HYPERLINK("https://twitter.com/Anavictoriadts","@Anavictoriadts")</f>
        <v>@Anavictoriadts</v>
      </c>
      <c r="C235" s="8" t="s">
        <v>1066</v>
      </c>
      <c r="D235" s="9" t="s">
        <v>1067</v>
      </c>
      <c r="E235" s="10" t="str">
        <f>HYPERLINK("https://twitter.com/Anavictoriadts/status/1071392760853356544","1071392760853356544")</f>
        <v>1071392760853356544</v>
      </c>
      <c r="F235" s="12"/>
      <c r="G235" s="12"/>
      <c r="H235" s="12"/>
      <c r="I235" s="13">
        <v>0</v>
      </c>
      <c r="J235" s="13">
        <v>2</v>
      </c>
      <c r="K235" s="14" t="str">
        <f t="shared" si="44"/>
        <v>Twitter for Android</v>
      </c>
      <c r="L235" s="13">
        <v>1318</v>
      </c>
      <c r="M235" s="13">
        <v>1369</v>
      </c>
      <c r="N235" s="13">
        <v>5</v>
      </c>
      <c r="O235" s="15"/>
      <c r="P235" s="6">
        <v>42896.050567129627</v>
      </c>
      <c r="Q235" s="16" t="s">
        <v>60</v>
      </c>
      <c r="R235" s="17" t="s">
        <v>1068</v>
      </c>
      <c r="S235" s="12"/>
      <c r="T235" s="12"/>
      <c r="U235" s="10" t="str">
        <f>HYPERLINK("https://pbs.twimg.com/profile_images/1041912941749182464/IORHS6fN.jpg","View")</f>
        <v>View</v>
      </c>
    </row>
    <row r="236" spans="1:21" ht="30.6">
      <c r="A236" s="6">
        <v>43442.593252314815</v>
      </c>
      <c r="B236" s="7" t="str">
        <f>HYPERLINK("https://twitter.com/APRIL03678231","@APRIL03678231")</f>
        <v>@APRIL03678231</v>
      </c>
      <c r="C236" s="8" t="s">
        <v>1069</v>
      </c>
      <c r="D236" s="9" t="s">
        <v>1070</v>
      </c>
      <c r="E236" s="10" t="str">
        <f>HYPERLINK("https://twitter.com/APRIL03678231/status/1071392523418066947","1071392523418066947")</f>
        <v>1071392523418066947</v>
      </c>
      <c r="F236" s="12"/>
      <c r="G236" s="11" t="s">
        <v>1071</v>
      </c>
      <c r="H236" s="12"/>
      <c r="I236" s="13">
        <v>0</v>
      </c>
      <c r="J236" s="13">
        <v>0</v>
      </c>
      <c r="K236" s="14" t="str">
        <f t="shared" ref="K236:K238" si="45">HYPERLINK("http://twitter.com","Twitter Web Client")</f>
        <v>Twitter Web Client</v>
      </c>
      <c r="L236" s="13">
        <v>40</v>
      </c>
      <c r="M236" s="13">
        <v>217</v>
      </c>
      <c r="N236" s="13">
        <v>0</v>
      </c>
      <c r="O236" s="15"/>
      <c r="P236" s="6">
        <v>42928.378564814819</v>
      </c>
      <c r="Q236" s="16" t="s">
        <v>1073</v>
      </c>
      <c r="R236" s="17" t="s">
        <v>1074</v>
      </c>
      <c r="S236" s="12"/>
      <c r="T236" s="12"/>
      <c r="U236" s="10" t="str">
        <f>HYPERLINK("https://pbs.twimg.com/profile_images/885870012287897600/BeBJr_2p.jpg","View")</f>
        <v>View</v>
      </c>
    </row>
    <row r="237" spans="1:21" ht="30.6">
      <c r="A237" s="6">
        <v>43442.592685185184</v>
      </c>
      <c r="B237" s="7" t="str">
        <f>HYPERLINK("https://twitter.com/universalsevil1","@universalsevil1")</f>
        <v>@universalsevil1</v>
      </c>
      <c r="C237" s="8" t="s">
        <v>1078</v>
      </c>
      <c r="D237" s="9" t="s">
        <v>1070</v>
      </c>
      <c r="E237" s="10" t="str">
        <f>HYPERLINK("https://twitter.com/universalsevil1/status/1071392314982055936","1071392314982055936")</f>
        <v>1071392314982055936</v>
      </c>
      <c r="F237" s="12"/>
      <c r="G237" s="11" t="s">
        <v>1079</v>
      </c>
      <c r="H237" s="12"/>
      <c r="I237" s="13">
        <v>0</v>
      </c>
      <c r="J237" s="13">
        <v>0</v>
      </c>
      <c r="K237" s="14" t="str">
        <f t="shared" si="45"/>
        <v>Twitter Web Client</v>
      </c>
      <c r="L237" s="13">
        <v>412</v>
      </c>
      <c r="M237" s="13">
        <v>694</v>
      </c>
      <c r="N237" s="13">
        <v>7</v>
      </c>
      <c r="O237" s="15"/>
      <c r="P237" s="6">
        <v>42373.857349537036</v>
      </c>
      <c r="Q237" s="12"/>
      <c r="R237" s="19"/>
      <c r="S237" s="12"/>
      <c r="T237" s="12"/>
      <c r="U237" s="10" t="str">
        <f>HYPERLINK("https://pbs.twimg.com/profile_images/990336265085177857/jUe7wYwz.jpg","View")</f>
        <v>View</v>
      </c>
    </row>
    <row r="238" spans="1:21" ht="30.6">
      <c r="A238" s="6">
        <v>43442.590775462959</v>
      </c>
      <c r="B238" s="7" t="str">
        <f>HYPERLINK("https://twitter.com/goslum","@goslum")</f>
        <v>@goslum</v>
      </c>
      <c r="C238" s="8" t="s">
        <v>1080</v>
      </c>
      <c r="D238" s="9" t="s">
        <v>1081</v>
      </c>
      <c r="E238" s="10" t="str">
        <f>HYPERLINK("https://twitter.com/goslum/status/1071391623488126976","1071391623488126976")</f>
        <v>1071391623488126976</v>
      </c>
      <c r="F238" s="12"/>
      <c r="G238" s="12"/>
      <c r="H238" s="12"/>
      <c r="I238" s="13">
        <v>0</v>
      </c>
      <c r="J238" s="13">
        <v>6</v>
      </c>
      <c r="K238" s="14" t="str">
        <f t="shared" si="45"/>
        <v>Twitter Web Client</v>
      </c>
      <c r="L238" s="13">
        <v>8239</v>
      </c>
      <c r="M238" s="13">
        <v>307</v>
      </c>
      <c r="N238" s="13">
        <v>93</v>
      </c>
      <c r="O238" s="15"/>
      <c r="P238" s="6">
        <v>41141.618148148147</v>
      </c>
      <c r="Q238" s="12"/>
      <c r="R238" s="21" t="s">
        <v>1082</v>
      </c>
      <c r="S238" s="12"/>
      <c r="T238" s="12"/>
      <c r="U238" s="10" t="str">
        <f>HYPERLINK("https://pbs.twimg.com/profile_images/959315561099411456/rdONeA44.jpg","View")</f>
        <v>View</v>
      </c>
    </row>
    <row r="239" spans="1:21" ht="13.2">
      <c r="A239" s="6">
        <v>43442.590405092589</v>
      </c>
      <c r="B239" s="7" t="str">
        <f>HYPERLINK("https://twitter.com/seby_perez","@seby_perez")</f>
        <v>@seby_perez</v>
      </c>
      <c r="C239" s="8" t="s">
        <v>1083</v>
      </c>
      <c r="D239" s="9" t="s">
        <v>1084</v>
      </c>
      <c r="E239" s="10" t="str">
        <f>HYPERLINK("https://twitter.com/seby_perez/status/1071391491673767937","1071391491673767937")</f>
        <v>1071391491673767937</v>
      </c>
      <c r="F239" s="11" t="s">
        <v>689</v>
      </c>
      <c r="G239" s="12"/>
      <c r="H239" s="12"/>
      <c r="I239" s="13">
        <v>0</v>
      </c>
      <c r="J239" s="13">
        <v>0</v>
      </c>
      <c r="K239" s="14" t="str">
        <f>HYPERLINK("https://mobile.twitter.com","Twitter Lite")</f>
        <v>Twitter Lite</v>
      </c>
      <c r="L239" s="13">
        <v>1628</v>
      </c>
      <c r="M239" s="13">
        <v>1624</v>
      </c>
      <c r="N239" s="13">
        <v>5</v>
      </c>
      <c r="O239" s="15"/>
      <c r="P239" s="6">
        <v>41914.773379629631</v>
      </c>
      <c r="Q239" s="16" t="s">
        <v>60</v>
      </c>
      <c r="R239" s="17" t="s">
        <v>1085</v>
      </c>
      <c r="S239" s="12"/>
      <c r="T239" s="12"/>
      <c r="U239" s="10" t="str">
        <f>HYPERLINK("https://pbs.twimg.com/profile_images/1067411848234967040/zd7J5BWO.jpg","View")</f>
        <v>View</v>
      </c>
    </row>
    <row r="240" spans="1:21" ht="51">
      <c r="A240" s="6">
        <v>43442.590243055558</v>
      </c>
      <c r="B240" s="7" t="str">
        <f>HYPERLINK("https://twitter.com/editeestrela","@editeestrela")</f>
        <v>@editeestrela</v>
      </c>
      <c r="C240" s="8" t="s">
        <v>1086</v>
      </c>
      <c r="D240" s="9" t="s">
        <v>1087</v>
      </c>
      <c r="E240" s="10" t="str">
        <f>HYPERLINK("https://twitter.com/editeestrela/status/1071391431078621185","1071391431078621185")</f>
        <v>1071391431078621185</v>
      </c>
      <c r="F240" s="12"/>
      <c r="G240" s="12"/>
      <c r="H240" s="12"/>
      <c r="I240" s="13">
        <v>2</v>
      </c>
      <c r="J240" s="13">
        <v>2</v>
      </c>
      <c r="K240" s="14" t="str">
        <f>HYPERLINK("http://www.facebook.com/twitter","Facebook")</f>
        <v>Facebook</v>
      </c>
      <c r="L240" s="13">
        <v>25411</v>
      </c>
      <c r="M240" s="13">
        <v>1462</v>
      </c>
      <c r="N240" s="13">
        <v>363</v>
      </c>
      <c r="O240" s="15"/>
      <c r="P240" s="6">
        <v>39877.478483796294</v>
      </c>
      <c r="Q240" s="16" t="s">
        <v>1088</v>
      </c>
      <c r="R240" s="17" t="s">
        <v>1089</v>
      </c>
      <c r="S240" s="12"/>
      <c r="T240" s="12"/>
      <c r="U240" s="10" t="str">
        <f>HYPERLINK("https://pbs.twimg.com/profile_images/567879201/Copy_of_ESTRELA_Edite_PT.JPG","View")</f>
        <v>View</v>
      </c>
    </row>
    <row r="241" spans="1:21" ht="30.6">
      <c r="A241" s="6">
        <v>43442.589618055557</v>
      </c>
      <c r="B241" s="7" t="str">
        <f>HYPERLINK("https://twitter.com/Guadanews_es","@Guadanews_es")</f>
        <v>@Guadanews_es</v>
      </c>
      <c r="C241" s="8" t="s">
        <v>1090</v>
      </c>
      <c r="D241" s="9" t="s">
        <v>1091</v>
      </c>
      <c r="E241" s="10" t="str">
        <f>HYPERLINK("https://twitter.com/Guadanews_es/status/1071391205752225792","1071391205752225792")</f>
        <v>1071391205752225792</v>
      </c>
      <c r="F241" s="11" t="s">
        <v>1092</v>
      </c>
      <c r="G241" s="12"/>
      <c r="H241" s="12"/>
      <c r="I241" s="13">
        <v>0</v>
      </c>
      <c r="J241" s="13">
        <v>0</v>
      </c>
      <c r="K241" s="14" t="str">
        <f>HYPERLINK("http://twitter.com","Twitter Web Client")</f>
        <v>Twitter Web Client</v>
      </c>
      <c r="L241" s="13">
        <v>8167</v>
      </c>
      <c r="M241" s="13">
        <v>4425</v>
      </c>
      <c r="N241" s="13">
        <v>100</v>
      </c>
      <c r="O241" s="15"/>
      <c r="P241" s="6">
        <v>40499.537777777776</v>
      </c>
      <c r="Q241" s="16" t="s">
        <v>708</v>
      </c>
      <c r="R241" s="17" t="s">
        <v>1093</v>
      </c>
      <c r="S241" s="11" t="s">
        <v>1094</v>
      </c>
      <c r="T241" s="12"/>
      <c r="U241" s="10" t="str">
        <f>HYPERLINK("https://pbs.twimg.com/profile_images/421322091573440512/KI0jgmZb.png","View")</f>
        <v>View</v>
      </c>
    </row>
    <row r="242" spans="1:21" ht="30.6">
      <c r="A242" s="6">
        <v>43442.589247685188</v>
      </c>
      <c r="B242" s="7" t="str">
        <f>HYPERLINK("https://twitter.com/antgalan","@antgalan")</f>
        <v>@antgalan</v>
      </c>
      <c r="C242" s="8" t="s">
        <v>1095</v>
      </c>
      <c r="D242" s="9" t="s">
        <v>1096</v>
      </c>
      <c r="E242" s="10" t="str">
        <f>HYPERLINK("https://twitter.com/antgalan/status/1071391072469876736","1071391072469876736")</f>
        <v>1071391072469876736</v>
      </c>
      <c r="F242" s="11" t="s">
        <v>398</v>
      </c>
      <c r="G242" s="12"/>
      <c r="H242" s="12"/>
      <c r="I242" s="13">
        <v>0</v>
      </c>
      <c r="J242" s="13">
        <v>0</v>
      </c>
      <c r="K242" s="14" t="str">
        <f>HYPERLINK("http://twitter.com/download/android","Twitter for Android")</f>
        <v>Twitter for Android</v>
      </c>
      <c r="L242" s="13">
        <v>14846</v>
      </c>
      <c r="M242" s="13">
        <v>11511</v>
      </c>
      <c r="N242" s="13">
        <v>232</v>
      </c>
      <c r="O242" s="15"/>
      <c r="P242" s="6">
        <v>40229.58803240741</v>
      </c>
      <c r="Q242" s="16" t="s">
        <v>1097</v>
      </c>
      <c r="R242" s="17" t="s">
        <v>1098</v>
      </c>
      <c r="S242" s="11" t="s">
        <v>1099</v>
      </c>
      <c r="T242" s="12"/>
      <c r="U242" s="10" t="str">
        <f>HYPERLINK("https://pbs.twimg.com/profile_images/944931055554973698/kViAK0XP.jpg","View")</f>
        <v>View</v>
      </c>
    </row>
    <row r="243" spans="1:21" ht="40.799999999999997">
      <c r="A243" s="6">
        <v>43442.586817129632</v>
      </c>
      <c r="B243" s="7" t="str">
        <f>HYPERLINK("https://twitter.com/Newtral","@Newtral")</f>
        <v>@Newtral</v>
      </c>
      <c r="C243" s="8" t="s">
        <v>1100</v>
      </c>
      <c r="D243" s="9" t="s">
        <v>1101</v>
      </c>
      <c r="E243" s="10" t="str">
        <f>HYPERLINK("https://twitter.com/Newtral/status/1071390191972204544","1071390191972204544")</f>
        <v>1071390191972204544</v>
      </c>
      <c r="F243" s="11" t="s">
        <v>1102</v>
      </c>
      <c r="G243" s="11" t="s">
        <v>1103</v>
      </c>
      <c r="H243" s="12"/>
      <c r="I243" s="13">
        <v>10</v>
      </c>
      <c r="J243" s="13">
        <v>13</v>
      </c>
      <c r="K243" s="14" t="str">
        <f>HYPERLINK("https://buffer.com","Buffer")</f>
        <v>Buffer</v>
      </c>
      <c r="L243" s="13">
        <v>32289</v>
      </c>
      <c r="M243" s="13">
        <v>65</v>
      </c>
      <c r="N243" s="13">
        <v>245</v>
      </c>
      <c r="O243" s="18" t="s">
        <v>41</v>
      </c>
      <c r="P243" s="6">
        <v>43004.852858796294</v>
      </c>
      <c r="Q243" s="12"/>
      <c r="R243" s="17" t="s">
        <v>1104</v>
      </c>
      <c r="S243" s="11" t="s">
        <v>1105</v>
      </c>
      <c r="T243" s="12"/>
      <c r="U243" s="10" t="str">
        <f>HYPERLINK("https://pbs.twimg.com/profile_images/1066953857039810560/ZlbiMZII.jpg","View")</f>
        <v>View</v>
      </c>
    </row>
    <row r="244" spans="1:21" ht="20.399999999999999">
      <c r="A244" s="6">
        <v>43442.586238425924</v>
      </c>
      <c r="B244" s="7" t="str">
        <f>HYPERLINK("https://twitter.com/adelacafe93","@adelacafe93")</f>
        <v>@adelacafe93</v>
      </c>
      <c r="C244" s="8" t="s">
        <v>1106</v>
      </c>
      <c r="D244" s="9" t="s">
        <v>1107</v>
      </c>
      <c r="E244" s="10" t="str">
        <f>HYPERLINK("https://twitter.com/adelacafe93/status/1071389979006459904","1071389979006459904")</f>
        <v>1071389979006459904</v>
      </c>
      <c r="F244" s="11" t="s">
        <v>1109</v>
      </c>
      <c r="G244" s="12"/>
      <c r="H244" s="12"/>
      <c r="I244" s="13">
        <v>0</v>
      </c>
      <c r="J244" s="13">
        <v>0</v>
      </c>
      <c r="K244" s="14" t="str">
        <f>HYPERLINK("https://ifttt.com","IFTTT")</f>
        <v>IFTTT</v>
      </c>
      <c r="L244" s="13">
        <v>18</v>
      </c>
      <c r="M244" s="13">
        <v>47</v>
      </c>
      <c r="N244" s="13">
        <v>0</v>
      </c>
      <c r="O244" s="15"/>
      <c r="P244" s="6">
        <v>42761.615034722221</v>
      </c>
      <c r="Q244" s="16" t="s">
        <v>1110</v>
      </c>
      <c r="R244" s="17" t="s">
        <v>1111</v>
      </c>
      <c r="S244" s="12"/>
      <c r="T244" s="12"/>
      <c r="U244" s="10" t="str">
        <f>HYPERLINK("https://pbs.twimg.com/profile_images/824614694078013444/fkDV_Y0Z.jpg","View")</f>
        <v>View</v>
      </c>
    </row>
    <row r="245" spans="1:21" ht="20.399999999999999">
      <c r="A245" s="6">
        <v>43442.585486111115</v>
      </c>
      <c r="B245" s="7" t="str">
        <f>HYPERLINK("https://twitter.com/NataC40","@NataC40")</f>
        <v>@NataC40</v>
      </c>
      <c r="C245" s="8" t="s">
        <v>1113</v>
      </c>
      <c r="D245" s="9" t="s">
        <v>1114</v>
      </c>
      <c r="E245" s="10" t="str">
        <f>HYPERLINK("https://twitter.com/NataC40/status/1071389708322779136","1071389708322779136")</f>
        <v>1071389708322779136</v>
      </c>
      <c r="F245" s="11" t="s">
        <v>1117</v>
      </c>
      <c r="G245" s="12"/>
      <c r="H245" s="12"/>
      <c r="I245" s="13">
        <v>0</v>
      </c>
      <c r="J245" s="13">
        <v>0</v>
      </c>
      <c r="K245" s="14" t="str">
        <f t="shared" ref="K245:K246" si="46">HYPERLINK("http://twitter.com","Twitter Web Client")</f>
        <v>Twitter Web Client</v>
      </c>
      <c r="L245" s="13">
        <v>856</v>
      </c>
      <c r="M245" s="13">
        <v>1284</v>
      </c>
      <c r="N245" s="13">
        <v>30</v>
      </c>
      <c r="O245" s="15"/>
      <c r="P245" s="6">
        <v>40752.914143518516</v>
      </c>
      <c r="Q245" s="16" t="s">
        <v>200</v>
      </c>
      <c r="R245" s="19"/>
      <c r="S245" s="11" t="s">
        <v>1118</v>
      </c>
      <c r="T245" s="12"/>
      <c r="U245" s="10" t="str">
        <f>HYPERLINK("https://pbs.twimg.com/profile_images/1651129221/19540_1269559713426_1662840659_641834_5949201_n.jpg","View")</f>
        <v>View</v>
      </c>
    </row>
    <row r="246" spans="1:21" ht="30.6">
      <c r="A246" s="6">
        <v>43442.584201388891</v>
      </c>
      <c r="B246" s="7" t="str">
        <f>HYPERLINK("https://twitter.com/Anquiza","@Anquiza")</f>
        <v>@Anquiza</v>
      </c>
      <c r="C246" s="8" t="s">
        <v>1119</v>
      </c>
      <c r="D246" s="9" t="s">
        <v>1120</v>
      </c>
      <c r="E246" s="10" t="str">
        <f>HYPERLINK("https://twitter.com/Anquiza/status/1071389241479970817","1071389241479970817")</f>
        <v>1071389241479970817</v>
      </c>
      <c r="F246" s="12"/>
      <c r="G246" s="12"/>
      <c r="H246" s="12"/>
      <c r="I246" s="13">
        <v>0</v>
      </c>
      <c r="J246" s="13">
        <v>0</v>
      </c>
      <c r="K246" s="14" t="str">
        <f t="shared" si="46"/>
        <v>Twitter Web Client</v>
      </c>
      <c r="L246" s="13">
        <v>162</v>
      </c>
      <c r="M246" s="13">
        <v>294</v>
      </c>
      <c r="N246" s="13">
        <v>10</v>
      </c>
      <c r="O246" s="15"/>
      <c r="P246" s="6">
        <v>40088.497141203705</v>
      </c>
      <c r="Q246" s="16" t="s">
        <v>1121</v>
      </c>
      <c r="R246" s="17" t="s">
        <v>1122</v>
      </c>
      <c r="S246" s="12"/>
      <c r="T246" s="12"/>
      <c r="U246" s="10" t="str">
        <f>HYPERLINK("https://pbs.twimg.com/profile_images/893055830756544512/CiFycWDA.jpg","View")</f>
        <v>View</v>
      </c>
    </row>
    <row r="247" spans="1:21" ht="51">
      <c r="A247" s="6">
        <v>43442.581412037034</v>
      </c>
      <c r="B247" s="7" t="str">
        <f>HYPERLINK("https://twitter.com/PPRMurcia","@PPRMurcia")</f>
        <v>@PPRMurcia</v>
      </c>
      <c r="C247" s="8" t="s">
        <v>1123</v>
      </c>
      <c r="D247" s="9" t="s">
        <v>1124</v>
      </c>
      <c r="E247" s="10" t="str">
        <f>HYPERLINK("https://twitter.com/PPRMurcia/status/1071388233077047296","1071388233077047296")</f>
        <v>1071388233077047296</v>
      </c>
      <c r="F247" s="12"/>
      <c r="G247" s="12"/>
      <c r="H247" s="12"/>
      <c r="I247" s="13">
        <v>9</v>
      </c>
      <c r="J247" s="13">
        <v>7</v>
      </c>
      <c r="K247" s="14" t="str">
        <f>HYPERLINK("http://twitter.com/download/iphone","Twitter for iPhone")</f>
        <v>Twitter for iPhone</v>
      </c>
      <c r="L247" s="13">
        <v>6666</v>
      </c>
      <c r="M247" s="13">
        <v>933</v>
      </c>
      <c r="N247" s="13">
        <v>139</v>
      </c>
      <c r="O247" s="18" t="s">
        <v>41</v>
      </c>
      <c r="P247" s="6">
        <v>40801.602268518516</v>
      </c>
      <c r="Q247" s="16" t="s">
        <v>1125</v>
      </c>
      <c r="R247" s="17" t="s">
        <v>1126</v>
      </c>
      <c r="S247" s="11" t="s">
        <v>1127</v>
      </c>
      <c r="T247" s="12"/>
      <c r="U247" s="10" t="str">
        <f>HYPERLINK("https://pbs.twimg.com/profile_images/1062016438645506049/M-sV8gS7.jpg","View")</f>
        <v>View</v>
      </c>
    </row>
    <row r="248" spans="1:21" ht="51">
      <c r="A248" s="6">
        <v>43442.580636574072</v>
      </c>
      <c r="B248" s="7" t="str">
        <f>HYPERLINK("https://twitter.com/Efesios61317","@Efesios61317")</f>
        <v>@Efesios61317</v>
      </c>
      <c r="C248" s="8" t="s">
        <v>1128</v>
      </c>
      <c r="D248" s="9" t="s">
        <v>1129</v>
      </c>
      <c r="E248" s="10" t="str">
        <f>HYPERLINK("https://twitter.com/Efesios61317/status/1071387951572180992","1071387951572180992")</f>
        <v>1071387951572180992</v>
      </c>
      <c r="F248" s="11" t="s">
        <v>220</v>
      </c>
      <c r="G248" s="12"/>
      <c r="H248" s="12"/>
      <c r="I248" s="13">
        <v>0</v>
      </c>
      <c r="J248" s="13">
        <v>0</v>
      </c>
      <c r="K248" s="14" t="str">
        <f>HYPERLINK("http://twitter.com/download/android","Twitter for Android")</f>
        <v>Twitter for Android</v>
      </c>
      <c r="L248" s="13">
        <v>245</v>
      </c>
      <c r="M248" s="13">
        <v>438</v>
      </c>
      <c r="N248" s="13">
        <v>0</v>
      </c>
      <c r="O248" s="15"/>
      <c r="P248" s="6">
        <v>43178.994259259256</v>
      </c>
      <c r="Q248" s="12"/>
      <c r="R248" s="19"/>
      <c r="S248" s="12"/>
      <c r="T248" s="12"/>
      <c r="U248" s="10" t="str">
        <f>HYPERLINK("https://pbs.twimg.com/profile_images/976104880216690688/5lUs1_Cv.jpg","View")</f>
        <v>View</v>
      </c>
    </row>
    <row r="249" spans="1:21" ht="51">
      <c r="A249" s="6">
        <v>43442.580613425926</v>
      </c>
      <c r="B249" s="7" t="str">
        <f>HYPERLINK("https://twitter.com/xballymenax","@xballymenax")</f>
        <v>@xballymenax</v>
      </c>
      <c r="C249" s="8" t="s">
        <v>814</v>
      </c>
      <c r="D249" s="9" t="s">
        <v>1130</v>
      </c>
      <c r="E249" s="10" t="str">
        <f>HYPERLINK("https://twitter.com/xballymenax/status/1071387941560348672","1071387941560348672")</f>
        <v>1071387941560348672</v>
      </c>
      <c r="F249" s="12"/>
      <c r="G249" s="12"/>
      <c r="H249" s="12"/>
      <c r="I249" s="13">
        <v>0</v>
      </c>
      <c r="J249" s="13">
        <v>0</v>
      </c>
      <c r="K249" s="14" t="str">
        <f>HYPERLINK("http://twitter.com","Twitter Web Client")</f>
        <v>Twitter Web Client</v>
      </c>
      <c r="L249" s="13">
        <v>67</v>
      </c>
      <c r="M249" s="13">
        <v>278</v>
      </c>
      <c r="N249" s="13">
        <v>0</v>
      </c>
      <c r="O249" s="15"/>
      <c r="P249" s="6">
        <v>43318.86509259259</v>
      </c>
      <c r="Q249" s="12"/>
      <c r="R249" s="21" t="s">
        <v>817</v>
      </c>
      <c r="S249" s="12"/>
      <c r="T249" s="12"/>
      <c r="U249" s="10" t="str">
        <f>HYPERLINK("https://pbs.twimg.com/profile_images/1038689602373074945/5AoXuNfY.jpg","View")</f>
        <v>View</v>
      </c>
    </row>
    <row r="250" spans="1:21" ht="51">
      <c r="A250" s="6">
        <v>43442.580613425926</v>
      </c>
      <c r="B250" s="7" t="str">
        <f>HYPERLINK("https://twitter.com/mimaacordoba","@mimaacordoba")</f>
        <v>@mimaacordoba</v>
      </c>
      <c r="C250" s="8" t="s">
        <v>1133</v>
      </c>
      <c r="D250" s="9" t="s">
        <v>1134</v>
      </c>
      <c r="E250" s="10" t="str">
        <f>HYPERLINK("https://twitter.com/mimaacordoba/status/1071387941048590336","1071387941048590336")</f>
        <v>1071387941048590336</v>
      </c>
      <c r="F250" s="11" t="s">
        <v>1135</v>
      </c>
      <c r="G250" s="12"/>
      <c r="H250" s="12"/>
      <c r="I250" s="13">
        <v>1</v>
      </c>
      <c r="J250" s="13">
        <v>1</v>
      </c>
      <c r="K250" s="14" t="str">
        <f>HYPERLINK("http://twitter.com/download/iphone","Twitter for iPhone")</f>
        <v>Twitter for iPhone</v>
      </c>
      <c r="L250" s="13">
        <v>1150</v>
      </c>
      <c r="M250" s="13">
        <v>1541</v>
      </c>
      <c r="N250" s="13">
        <v>5</v>
      </c>
      <c r="O250" s="15"/>
      <c r="P250" s="6">
        <v>42606.463240740741</v>
      </c>
      <c r="Q250" s="16" t="s">
        <v>1136</v>
      </c>
      <c r="R250" s="17" t="s">
        <v>1137</v>
      </c>
      <c r="S250" s="11" t="s">
        <v>1138</v>
      </c>
      <c r="T250" s="12"/>
      <c r="U250" s="10" t="str">
        <f>HYPERLINK("https://pbs.twimg.com/profile_images/768375744623996928/QT5akGzP.jpg","View")</f>
        <v>View</v>
      </c>
    </row>
    <row r="251" spans="1:21" ht="30.6">
      <c r="A251" s="6">
        <v>43442.580567129626</v>
      </c>
      <c r="B251" s="7" t="str">
        <f>HYPERLINK("https://twitter.com/RogerdClari","@RogerdClari")</f>
        <v>@RogerdClari</v>
      </c>
      <c r="C251" s="8" t="s">
        <v>437</v>
      </c>
      <c r="D251" s="9" t="s">
        <v>1139</v>
      </c>
      <c r="E251" s="10" t="str">
        <f>HYPERLINK("https://twitter.com/RogerdClari/status/1071387924879630336","1071387924879630336")</f>
        <v>1071387924879630336</v>
      </c>
      <c r="F251" s="11" t="s">
        <v>1140</v>
      </c>
      <c r="G251" s="12"/>
      <c r="H251" s="12"/>
      <c r="I251" s="13">
        <v>0</v>
      </c>
      <c r="J251" s="13">
        <v>0</v>
      </c>
      <c r="K251" s="14" t="str">
        <f>HYPERLINK("http://twitter.com/download/android","Twitter for Android")</f>
        <v>Twitter for Android</v>
      </c>
      <c r="L251" s="13">
        <v>2492</v>
      </c>
      <c r="M251" s="13">
        <v>2277</v>
      </c>
      <c r="N251" s="13">
        <v>22</v>
      </c>
      <c r="O251" s="15"/>
      <c r="P251" s="6">
        <v>42115.826782407406</v>
      </c>
      <c r="Q251" s="16" t="s">
        <v>441</v>
      </c>
      <c r="R251" s="17" t="s">
        <v>442</v>
      </c>
      <c r="S251" s="12"/>
      <c r="T251" s="12"/>
      <c r="U251" s="10" t="str">
        <f>HYPERLINK("https://pbs.twimg.com/profile_images/613031209405403136/BCSuUFP-.jpg","View")</f>
        <v>View</v>
      </c>
    </row>
    <row r="252" spans="1:21" ht="51">
      <c r="A252" s="6">
        <v>43442.580162037033</v>
      </c>
      <c r="B252" s="7" t="str">
        <f>HYPERLINK("https://twitter.com/PBMarbeMalaga","@PBMarbeMalaga")</f>
        <v>@PBMarbeMalaga</v>
      </c>
      <c r="C252" s="8" t="s">
        <v>1141</v>
      </c>
      <c r="D252" s="9" t="s">
        <v>1142</v>
      </c>
      <c r="E252" s="10" t="str">
        <f>HYPERLINK("https://twitter.com/PBMarbeMalaga/status/1071387779240734720","1071387779240734720")</f>
        <v>1071387779240734720</v>
      </c>
      <c r="F252" s="12"/>
      <c r="G252" s="11" t="s">
        <v>1143</v>
      </c>
      <c r="H252" s="12"/>
      <c r="I252" s="13">
        <v>0</v>
      </c>
      <c r="J252" s="13">
        <v>0</v>
      </c>
      <c r="K252" s="14" t="str">
        <f>HYPERLINK("https://javitang.ddns.net","PBMarbeMalaga")</f>
        <v>PBMarbeMalaga</v>
      </c>
      <c r="L252" s="13">
        <v>1316</v>
      </c>
      <c r="M252" s="13">
        <v>1358</v>
      </c>
      <c r="N252" s="13">
        <v>2</v>
      </c>
      <c r="O252" s="15"/>
      <c r="P252" s="6">
        <v>43149.814074074078</v>
      </c>
      <c r="Q252" s="16" t="s">
        <v>1144</v>
      </c>
      <c r="R252" s="17" t="s">
        <v>1145</v>
      </c>
      <c r="S252" s="12"/>
      <c r="T252" s="12"/>
      <c r="U252" s="10" t="str">
        <f>HYPERLINK("https://pbs.twimg.com/profile_images/965296691145531392/sAFnfUu2.jpg","View")</f>
        <v>View</v>
      </c>
    </row>
    <row r="253" spans="1:21" ht="30.6">
      <c r="A253" s="6">
        <v>43442.579629629632</v>
      </c>
      <c r="B253" s="7" t="str">
        <f>HYPERLINK("https://twitter.com/PPRMurcia","@PPRMurcia")</f>
        <v>@PPRMurcia</v>
      </c>
      <c r="C253" s="8" t="s">
        <v>1123</v>
      </c>
      <c r="D253" s="9" t="s">
        <v>1146</v>
      </c>
      <c r="E253" s="10" t="str">
        <f>HYPERLINK("https://twitter.com/PPRMurcia/status/1071387583639375878","1071387583639375878")</f>
        <v>1071387583639375878</v>
      </c>
      <c r="F253" s="12"/>
      <c r="G253" s="12"/>
      <c r="H253" s="12"/>
      <c r="I253" s="13">
        <v>9</v>
      </c>
      <c r="J253" s="13">
        <v>8</v>
      </c>
      <c r="K253" s="14" t="str">
        <f>HYPERLINK("http://twitter.com/download/iphone","Twitter for iPhone")</f>
        <v>Twitter for iPhone</v>
      </c>
      <c r="L253" s="13">
        <v>6666</v>
      </c>
      <c r="M253" s="13">
        <v>933</v>
      </c>
      <c r="N253" s="13">
        <v>139</v>
      </c>
      <c r="O253" s="18" t="s">
        <v>41</v>
      </c>
      <c r="P253" s="6">
        <v>40801.602268518516</v>
      </c>
      <c r="Q253" s="16" t="s">
        <v>1125</v>
      </c>
      <c r="R253" s="17" t="s">
        <v>1126</v>
      </c>
      <c r="S253" s="11" t="s">
        <v>1127</v>
      </c>
      <c r="T253" s="12"/>
      <c r="U253" s="10" t="str">
        <f>HYPERLINK("https://pbs.twimg.com/profile_images/1062016438645506049/M-sV8gS7.jpg","View")</f>
        <v>View</v>
      </c>
    </row>
    <row r="254" spans="1:21" ht="20.399999999999999">
      <c r="A254" s="6">
        <v>43442.579421296294</v>
      </c>
      <c r="B254" s="7" t="str">
        <f>HYPERLINK("https://twitter.com/adelacafe93","@adelacafe93")</f>
        <v>@adelacafe93</v>
      </c>
      <c r="C254" s="8" t="s">
        <v>1106</v>
      </c>
      <c r="D254" s="9" t="s">
        <v>1107</v>
      </c>
      <c r="E254" s="10" t="str">
        <f>HYPERLINK("https://twitter.com/adelacafe93/status/1071387508120928258","1071387508120928258")</f>
        <v>1071387508120928258</v>
      </c>
      <c r="F254" s="11" t="s">
        <v>1147</v>
      </c>
      <c r="G254" s="12"/>
      <c r="H254" s="12"/>
      <c r="I254" s="13">
        <v>0</v>
      </c>
      <c r="J254" s="13">
        <v>0</v>
      </c>
      <c r="K254" s="14" t="str">
        <f t="shared" ref="K254:K255" si="47">HYPERLINK("https://ifttt.com","IFTTT")</f>
        <v>IFTTT</v>
      </c>
      <c r="L254" s="13">
        <v>18</v>
      </c>
      <c r="M254" s="13">
        <v>47</v>
      </c>
      <c r="N254" s="13">
        <v>0</v>
      </c>
      <c r="O254" s="15"/>
      <c r="P254" s="6">
        <v>42761.615034722221</v>
      </c>
      <c r="Q254" s="16" t="s">
        <v>1110</v>
      </c>
      <c r="R254" s="17" t="s">
        <v>1111</v>
      </c>
      <c r="S254" s="12"/>
      <c r="T254" s="12"/>
      <c r="U254" s="10" t="str">
        <f>HYPERLINK("https://pbs.twimg.com/profile_images/824614694078013444/fkDV_Y0Z.jpg","View")</f>
        <v>View</v>
      </c>
    </row>
    <row r="255" spans="1:21" ht="20.399999999999999">
      <c r="A255" s="6">
        <v>43442.579351851848</v>
      </c>
      <c r="B255" s="7" t="str">
        <f>HYPERLINK("https://twitter.com/titulares24hora","@titulares24hora")</f>
        <v>@titulares24hora</v>
      </c>
      <c r="C255" s="8" t="s">
        <v>1148</v>
      </c>
      <c r="D255" s="9" t="s">
        <v>1107</v>
      </c>
      <c r="E255" s="10" t="str">
        <f>HYPERLINK("https://twitter.com/titulares24hora/status/1071387485287129089","1071387485287129089")</f>
        <v>1071387485287129089</v>
      </c>
      <c r="F255" s="12"/>
      <c r="G255" s="12"/>
      <c r="H255" s="12"/>
      <c r="I255" s="13">
        <v>0</v>
      </c>
      <c r="J255" s="13">
        <v>0</v>
      </c>
      <c r="K255" s="14" t="str">
        <f t="shared" si="47"/>
        <v>IFTTT</v>
      </c>
      <c r="L255" s="13">
        <v>394</v>
      </c>
      <c r="M255" s="13">
        <v>1462</v>
      </c>
      <c r="N255" s="13">
        <v>2</v>
      </c>
      <c r="O255" s="15"/>
      <c r="P255" s="6">
        <v>42508.446805555555</v>
      </c>
      <c r="Q255" s="12"/>
      <c r="R255" s="17" t="s">
        <v>1149</v>
      </c>
      <c r="S255" s="12"/>
      <c r="T255" s="12"/>
      <c r="U255" s="10" t="str">
        <f>HYPERLINK("https://pbs.twimg.com/profile_images/732855169034166272/A8O2LY2J.jpg","View")</f>
        <v>View</v>
      </c>
    </row>
    <row r="256" spans="1:21" ht="30.6">
      <c r="A256" s="6">
        <v>43442.579270833332</v>
      </c>
      <c r="B256" s="7" t="str">
        <f>HYPERLINK("https://twitter.com/ManuelRFerrerL","@ManuelRFerrerL")</f>
        <v>@ManuelRFerrerL</v>
      </c>
      <c r="C256" s="8" t="s">
        <v>1151</v>
      </c>
      <c r="D256" s="9" t="s">
        <v>1152</v>
      </c>
      <c r="E256" s="10" t="str">
        <f>HYPERLINK("https://twitter.com/ManuelRFerrerL/status/1071387456652627968","1071387456652627968")</f>
        <v>1071387456652627968</v>
      </c>
      <c r="F256" s="12"/>
      <c r="G256" s="12"/>
      <c r="H256" s="12"/>
      <c r="I256" s="13">
        <v>0</v>
      </c>
      <c r="J256" s="13">
        <v>0</v>
      </c>
      <c r="K256" s="14" t="str">
        <f>HYPERLINK("http://twitter.com/download/iphone","Twitter for iPhone")</f>
        <v>Twitter for iPhone</v>
      </c>
      <c r="L256" s="13">
        <v>1157</v>
      </c>
      <c r="M256" s="13">
        <v>681</v>
      </c>
      <c r="N256" s="13">
        <v>38</v>
      </c>
      <c r="O256" s="15"/>
      <c r="P256" s="6">
        <v>40858.984918981485</v>
      </c>
      <c r="Q256" s="12"/>
      <c r="R256" s="17" t="s">
        <v>1153</v>
      </c>
      <c r="S256" s="11" t="s">
        <v>1154</v>
      </c>
      <c r="T256" s="12"/>
      <c r="U256" s="10" t="str">
        <f>HYPERLINK("https://pbs.twimg.com/profile_images/2956342224/93e5fc29d135dd154bc4eccad6ce94c8.jpeg","View")</f>
        <v>View</v>
      </c>
    </row>
    <row r="257" spans="1:21" ht="40.799999999999997">
      <c r="A257" s="6">
        <v>43442.578993055555</v>
      </c>
      <c r="B257" s="7" t="str">
        <f>HYPERLINK("https://twitter.com/numer344","@numer344")</f>
        <v>@numer344</v>
      </c>
      <c r="C257" s="8" t="s">
        <v>1156</v>
      </c>
      <c r="D257" s="9" t="s">
        <v>1157</v>
      </c>
      <c r="E257" s="10" t="str">
        <f>HYPERLINK("https://twitter.com/numer344/status/1071387355683139585","1071387355683139585")</f>
        <v>1071387355683139585</v>
      </c>
      <c r="F257" s="11" t="s">
        <v>696</v>
      </c>
      <c r="G257" s="12"/>
      <c r="H257" s="12"/>
      <c r="I257" s="13">
        <v>214</v>
      </c>
      <c r="J257" s="13">
        <v>167</v>
      </c>
      <c r="K257" s="14" t="str">
        <f t="shared" ref="K257:K260" si="48">HYPERLINK("http://twitter.com/download/android","Twitter for Android")</f>
        <v>Twitter for Android</v>
      </c>
      <c r="L257" s="13">
        <v>48343</v>
      </c>
      <c r="M257" s="13">
        <v>19005</v>
      </c>
      <c r="N257" s="13">
        <v>220</v>
      </c>
      <c r="O257" s="15"/>
      <c r="P257" s="6">
        <v>42913.944537037038</v>
      </c>
      <c r="Q257" s="12"/>
      <c r="R257" s="19"/>
      <c r="S257" s="12"/>
      <c r="T257" s="12"/>
      <c r="U257" s="10" t="str">
        <f>HYPERLINK("https://pbs.twimg.com/profile_images/880028261270638592/VqXmYtU3.jpg","View")</f>
        <v>View</v>
      </c>
    </row>
    <row r="258" spans="1:21" ht="51">
      <c r="A258" s="6">
        <v>43442.578750000001</v>
      </c>
      <c r="B258" s="7" t="str">
        <f>HYPERLINK("https://twitter.com/leonardopazo","@leonardopazo")</f>
        <v>@leonardopazo</v>
      </c>
      <c r="C258" s="8" t="s">
        <v>1158</v>
      </c>
      <c r="D258" s="9" t="s">
        <v>1159</v>
      </c>
      <c r="E258" s="10" t="str">
        <f>HYPERLINK("https://twitter.com/leonardopazo/status/1071387265904062464","1071387265904062464")</f>
        <v>1071387265904062464</v>
      </c>
      <c r="F258" s="12"/>
      <c r="G258" s="12"/>
      <c r="H258" s="12"/>
      <c r="I258" s="13">
        <v>0</v>
      </c>
      <c r="J258" s="13">
        <v>0</v>
      </c>
      <c r="K258" s="14" t="str">
        <f t="shared" si="48"/>
        <v>Twitter for Android</v>
      </c>
      <c r="L258" s="13">
        <v>665</v>
      </c>
      <c r="M258" s="13">
        <v>1081</v>
      </c>
      <c r="N258" s="13">
        <v>6</v>
      </c>
      <c r="O258" s="15"/>
      <c r="P258" s="6">
        <v>40037.809629629628</v>
      </c>
      <c r="Q258" s="16" t="s">
        <v>1160</v>
      </c>
      <c r="R258" s="17" t="s">
        <v>1161</v>
      </c>
      <c r="S258" s="12"/>
      <c r="T258" s="12"/>
      <c r="U258" s="10" t="str">
        <f>HYPERLINK("https://pbs.twimg.com/profile_images/1066883037739274241/3y396jBw.jpg","View")</f>
        <v>View</v>
      </c>
    </row>
    <row r="259" spans="1:21" ht="51">
      <c r="A259" s="6">
        <v>43442.578252314815</v>
      </c>
      <c r="B259" s="7" t="str">
        <f>HYPERLINK("https://twitter.com/racodelaesquina","@racodelaesquina")</f>
        <v>@racodelaesquina</v>
      </c>
      <c r="C259" s="8" t="s">
        <v>1162</v>
      </c>
      <c r="D259" s="9" t="s">
        <v>1163</v>
      </c>
      <c r="E259" s="10" t="str">
        <f>HYPERLINK("https://twitter.com/racodelaesquina/status/1071387087558074369","1071387087558074369")</f>
        <v>1071387087558074369</v>
      </c>
      <c r="F259" s="12"/>
      <c r="G259" s="12"/>
      <c r="H259" s="12"/>
      <c r="I259" s="13">
        <v>0</v>
      </c>
      <c r="J259" s="13">
        <v>1</v>
      </c>
      <c r="K259" s="14" t="str">
        <f t="shared" si="48"/>
        <v>Twitter for Android</v>
      </c>
      <c r="L259" s="13">
        <v>72</v>
      </c>
      <c r="M259" s="13">
        <v>336</v>
      </c>
      <c r="N259" s="13">
        <v>0</v>
      </c>
      <c r="O259" s="15"/>
      <c r="P259" s="6">
        <v>43355.032523148147</v>
      </c>
      <c r="Q259" s="12"/>
      <c r="R259" s="17" t="s">
        <v>1164</v>
      </c>
      <c r="S259" s="12"/>
      <c r="T259" s="12"/>
      <c r="U259" s="10" t="str">
        <f>HYPERLINK("https://pbs.twimg.com/profile_images/1066332230241447936/yCkWc4m6.jpg","View")</f>
        <v>View</v>
      </c>
    </row>
    <row r="260" spans="1:21" ht="40.799999999999997">
      <c r="A260" s="6">
        <v>43442.578148148154</v>
      </c>
      <c r="B260" s="7" t="str">
        <f>HYPERLINK("https://twitter.com/Mtlch50","@Mtlch50")</f>
        <v>@Mtlch50</v>
      </c>
      <c r="C260" s="8" t="s">
        <v>1165</v>
      </c>
      <c r="D260" s="9" t="s">
        <v>1166</v>
      </c>
      <c r="E260" s="10" t="str">
        <f>HYPERLINK("https://twitter.com/Mtlch50/status/1071387050505576448","1071387050505576448")</f>
        <v>1071387050505576448</v>
      </c>
      <c r="F260" s="12"/>
      <c r="G260" s="12"/>
      <c r="H260" s="12"/>
      <c r="I260" s="13">
        <v>0</v>
      </c>
      <c r="J260" s="13">
        <v>0</v>
      </c>
      <c r="K260" s="14" t="str">
        <f t="shared" si="48"/>
        <v>Twitter for Android</v>
      </c>
      <c r="L260" s="13">
        <v>2118</v>
      </c>
      <c r="M260" s="13">
        <v>2097</v>
      </c>
      <c r="N260" s="13">
        <v>47</v>
      </c>
      <c r="O260" s="15"/>
      <c r="P260" s="6">
        <v>41410.465497685189</v>
      </c>
      <c r="Q260" s="16" t="s">
        <v>200</v>
      </c>
      <c r="R260" s="17" t="s">
        <v>1167</v>
      </c>
      <c r="S260" s="12"/>
      <c r="T260" s="12"/>
      <c r="U260" s="10" t="str">
        <f>HYPERLINK("https://pbs.twimg.com/profile_images/1066858232059232257/ki2mUHJk.jpg","View")</f>
        <v>View</v>
      </c>
    </row>
    <row r="261" spans="1:21" ht="20.399999999999999">
      <c r="A261" s="6">
        <v>43442.576435185183</v>
      </c>
      <c r="B261" s="7" t="str">
        <f>HYPERLINK("https://twitter.com/PoliticaNWS","@PoliticaNWS")</f>
        <v>@PoliticaNWS</v>
      </c>
      <c r="C261" s="8" t="s">
        <v>1168</v>
      </c>
      <c r="D261" s="9" t="s">
        <v>1169</v>
      </c>
      <c r="E261" s="10" t="str">
        <f>HYPERLINK("https://twitter.com/PoliticaNWS/status/1071386426460332032","1071386426460332032")</f>
        <v>1071386426460332032</v>
      </c>
      <c r="F261" s="11" t="s">
        <v>1170</v>
      </c>
      <c r="G261" s="12"/>
      <c r="H261" s="12"/>
      <c r="I261" s="13">
        <v>1</v>
      </c>
      <c r="J261" s="13">
        <v>1</v>
      </c>
      <c r="K261" s="14" t="str">
        <f>HYPERLINK("http://www.bolsamania.com","PoliticaNWS")</f>
        <v>PoliticaNWS</v>
      </c>
      <c r="L261" s="13">
        <v>2612</v>
      </c>
      <c r="M261" s="13">
        <v>4025</v>
      </c>
      <c r="N261" s="13">
        <v>13</v>
      </c>
      <c r="O261" s="15"/>
      <c r="P261" s="6">
        <v>42311.4684375</v>
      </c>
      <c r="Q261" s="12"/>
      <c r="R261" s="19"/>
      <c r="S261" s="12"/>
      <c r="T261" s="12"/>
      <c r="U261" s="10" t="str">
        <f>HYPERLINK("https://pbs.twimg.com/profile_images/661486965175558144/PaHywOHe.jpg","View")</f>
        <v>View</v>
      </c>
    </row>
    <row r="262" spans="1:21" ht="20.399999999999999">
      <c r="A262" s="6">
        <v>43442.576041666667</v>
      </c>
      <c r="B262" s="7" t="str">
        <f>HYPERLINK("https://twitter.com/cesar_ag5","@cesar_ag5")</f>
        <v>@cesar_ag5</v>
      </c>
      <c r="C262" s="8" t="s">
        <v>1171</v>
      </c>
      <c r="D262" s="9" t="s">
        <v>1172</v>
      </c>
      <c r="E262" s="10" t="str">
        <f>HYPERLINK("https://twitter.com/cesar_ag5/status/1071386283430293505","1071386283430293505")</f>
        <v>1071386283430293505</v>
      </c>
      <c r="F262" s="12"/>
      <c r="G262" s="12"/>
      <c r="H262" s="12"/>
      <c r="I262" s="13">
        <v>0</v>
      </c>
      <c r="J262" s="13">
        <v>0</v>
      </c>
      <c r="K262" s="14" t="str">
        <f>HYPERLINK("http://twitter.com/download/iphone","Twitter for iPhone")</f>
        <v>Twitter for iPhone</v>
      </c>
      <c r="L262" s="13">
        <v>1788</v>
      </c>
      <c r="M262" s="13">
        <v>1500</v>
      </c>
      <c r="N262" s="13">
        <v>14</v>
      </c>
      <c r="O262" s="15"/>
      <c r="P262" s="6">
        <v>41135.728900462964</v>
      </c>
      <c r="Q262" s="12"/>
      <c r="R262" s="17" t="s">
        <v>1173</v>
      </c>
      <c r="S262" s="12"/>
      <c r="T262" s="12"/>
      <c r="U262" s="10" t="str">
        <f>HYPERLINK("https://pbs.twimg.com/profile_images/628998181330767872/ZNIXBy4c.jpg","View")</f>
        <v>View</v>
      </c>
    </row>
    <row r="263" spans="1:21" ht="13.2">
      <c r="A263" s="6">
        <v>43442.575486111113</v>
      </c>
      <c r="B263" s="7" t="str">
        <f>HYPERLINK("https://twitter.com/ToroBra02643196","@ToroBra02643196")</f>
        <v>@ToroBra02643196</v>
      </c>
      <c r="C263" s="8" t="s">
        <v>1174</v>
      </c>
      <c r="D263" s="9" t="s">
        <v>1175</v>
      </c>
      <c r="E263" s="10" t="str">
        <f>HYPERLINK("https://twitter.com/ToroBra02643196/status/1071386082409885697","1071386082409885697")</f>
        <v>1071386082409885697</v>
      </c>
      <c r="F263" s="11" t="s">
        <v>1176</v>
      </c>
      <c r="G263" s="12"/>
      <c r="H263" s="12"/>
      <c r="I263" s="13">
        <v>0</v>
      </c>
      <c r="J263" s="13">
        <v>0</v>
      </c>
      <c r="K263" s="14" t="str">
        <f t="shared" ref="K263:K264" si="49">HYPERLINK("http://twitter.com","Twitter Web Client")</f>
        <v>Twitter Web Client</v>
      </c>
      <c r="L263" s="13">
        <v>103</v>
      </c>
      <c r="M263" s="13">
        <v>599</v>
      </c>
      <c r="N263" s="13">
        <v>1</v>
      </c>
      <c r="O263" s="15"/>
      <c r="P263" s="6">
        <v>43335.900312500002</v>
      </c>
      <c r="Q263" s="12"/>
      <c r="R263" s="19"/>
      <c r="S263" s="12"/>
      <c r="T263" s="12"/>
      <c r="U263" s="18" t="s">
        <v>67</v>
      </c>
    </row>
    <row r="264" spans="1:21" ht="61.2">
      <c r="A264" s="6">
        <v>43442.574999999997</v>
      </c>
      <c r="B264" s="7" t="str">
        <f>HYPERLINK("https://twitter.com/UnionColectiva","@UnionColectiva")</f>
        <v>@UnionColectiva</v>
      </c>
      <c r="C264" s="8" t="s">
        <v>1178</v>
      </c>
      <c r="D264" s="9" t="s">
        <v>1179</v>
      </c>
      <c r="E264" s="10" t="str">
        <f>HYPERLINK("https://twitter.com/UnionColectiva/status/1071385909919133697","1071385909919133697")</f>
        <v>1071385909919133697</v>
      </c>
      <c r="F264" s="12"/>
      <c r="G264" s="12"/>
      <c r="H264" s="12"/>
      <c r="I264" s="13">
        <v>2</v>
      </c>
      <c r="J264" s="13">
        <v>4</v>
      </c>
      <c r="K264" s="14" t="str">
        <f t="shared" si="49"/>
        <v>Twitter Web Client</v>
      </c>
      <c r="L264" s="13">
        <v>229</v>
      </c>
      <c r="M264" s="13">
        <v>232</v>
      </c>
      <c r="N264" s="13">
        <v>0</v>
      </c>
      <c r="O264" s="15"/>
      <c r="P264" s="6">
        <v>43328.347268518519</v>
      </c>
      <c r="Q264" s="16" t="s">
        <v>60</v>
      </c>
      <c r="R264" s="17" t="s">
        <v>1182</v>
      </c>
      <c r="S264" s="12"/>
      <c r="T264" s="12"/>
      <c r="U264" s="10" t="str">
        <f>HYPERLINK("https://pbs.twimg.com/profile_images/1058076997837045761/e9R7gfOV.jpg","View")</f>
        <v>View</v>
      </c>
    </row>
    <row r="265" spans="1:21" ht="40.799999999999997">
      <c r="A265" s="6">
        <v>43442.572187500002</v>
      </c>
      <c r="B265" s="7" t="str">
        <f>HYPERLINK("https://twitter.com/alemprende_","@alemprende_")</f>
        <v>@alemprende_</v>
      </c>
      <c r="C265" s="8" t="s">
        <v>1183</v>
      </c>
      <c r="D265" s="9" t="s">
        <v>1184</v>
      </c>
      <c r="E265" s="10" t="str">
        <f>HYPERLINK("https://twitter.com/alemprende_/status/1071384888165715968","1071384888165715968")</f>
        <v>1071384888165715968</v>
      </c>
      <c r="F265" s="11" t="s">
        <v>1185</v>
      </c>
      <c r="G265" s="12"/>
      <c r="H265" s="12"/>
      <c r="I265" s="13">
        <v>0</v>
      </c>
      <c r="J265" s="13">
        <v>0</v>
      </c>
      <c r="K265" s="14" t="str">
        <f>HYPERLINK("http://twitter.com/download/android","Twitter for Android")</f>
        <v>Twitter for Android</v>
      </c>
      <c r="L265" s="13">
        <v>821</v>
      </c>
      <c r="M265" s="13">
        <v>1913</v>
      </c>
      <c r="N265" s="13">
        <v>16</v>
      </c>
      <c r="O265" s="15"/>
      <c r="P265" s="6">
        <v>40286.581643518519</v>
      </c>
      <c r="Q265" s="16" t="s">
        <v>60</v>
      </c>
      <c r="R265" s="17" t="s">
        <v>1186</v>
      </c>
      <c r="S265" s="11" t="s">
        <v>1187</v>
      </c>
      <c r="T265" s="12"/>
      <c r="U265" s="10" t="str">
        <f>HYPERLINK("https://pbs.twimg.com/profile_images/672948975327145984/EDMMS8J0.jpg","View")</f>
        <v>View</v>
      </c>
    </row>
    <row r="266" spans="1:21" ht="30.6">
      <c r="A266" s="6">
        <v>43442.57068287037</v>
      </c>
      <c r="B266" s="7" t="str">
        <f>HYPERLINK("https://twitter.com/ENGINEER_28","@ENGINEER_28")</f>
        <v>@ENGINEER_28</v>
      </c>
      <c r="C266" s="8" t="s">
        <v>966</v>
      </c>
      <c r="D266" s="9" t="s">
        <v>1188</v>
      </c>
      <c r="E266" s="10" t="str">
        <f>HYPERLINK("https://twitter.com/ENGINEER_28/status/1071384345011781632","1071384345011781632")</f>
        <v>1071384345011781632</v>
      </c>
      <c r="F266" s="12"/>
      <c r="G266" s="12"/>
      <c r="H266" s="12"/>
      <c r="I266" s="13">
        <v>0</v>
      </c>
      <c r="J266" s="13">
        <v>1</v>
      </c>
      <c r="K266" s="14" t="str">
        <f>HYPERLINK("http://twitter.com","Twitter Web Client")</f>
        <v>Twitter Web Client</v>
      </c>
      <c r="L266" s="13">
        <v>5859</v>
      </c>
      <c r="M266" s="13">
        <v>2752</v>
      </c>
      <c r="N266" s="13">
        <v>86</v>
      </c>
      <c r="O266" s="15"/>
      <c r="P266" s="6">
        <v>40271.588877314818</v>
      </c>
      <c r="Q266" s="12"/>
      <c r="R266" s="17" t="s">
        <v>968</v>
      </c>
      <c r="S266" s="12"/>
      <c r="T266" s="12"/>
      <c r="U266" s="10" t="str">
        <f>HYPERLINK("https://pbs.twimg.com/profile_images/1069171213396787201/PFW_igss.jpg","View")</f>
        <v>View</v>
      </c>
    </row>
    <row r="267" spans="1:21" ht="51">
      <c r="A267" s="6">
        <v>43442.569652777776</v>
      </c>
      <c r="B267" s="7" t="str">
        <f>HYPERLINK("https://twitter.com/CFC1911","@CFC1911")</f>
        <v>@CFC1911</v>
      </c>
      <c r="C267" s="8" t="s">
        <v>1189</v>
      </c>
      <c r="D267" s="9" t="s">
        <v>1190</v>
      </c>
      <c r="E267" s="10" t="str">
        <f>HYPERLINK("https://twitter.com/CFC1911/status/1071383968841383936","1071383968841383936")</f>
        <v>1071383968841383936</v>
      </c>
      <c r="F267" s="12"/>
      <c r="G267" s="11" t="s">
        <v>1191</v>
      </c>
      <c r="H267" s="12"/>
      <c r="I267" s="13">
        <v>0</v>
      </c>
      <c r="J267" s="13">
        <v>1</v>
      </c>
      <c r="K267" s="14" t="str">
        <f>HYPERLINK("http://twitter.com/download/android","Twitter for Android")</f>
        <v>Twitter for Android</v>
      </c>
      <c r="L267" s="13">
        <v>5048</v>
      </c>
      <c r="M267" s="13">
        <v>301</v>
      </c>
      <c r="N267" s="13">
        <v>38</v>
      </c>
      <c r="O267" s="15"/>
      <c r="P267" s="6">
        <v>41237.568784722222</v>
      </c>
      <c r="Q267" s="12"/>
      <c r="R267" s="17" t="s">
        <v>1192</v>
      </c>
      <c r="S267" s="12"/>
      <c r="T267" s="12"/>
      <c r="U267" s="10" t="str">
        <f>HYPERLINK("https://pbs.twimg.com/profile_images/806564737249144832/4YIxhwx2.jpg","View")</f>
        <v>View</v>
      </c>
    </row>
    <row r="268" spans="1:21" ht="51">
      <c r="A268" s="6">
        <v>43442.568159722221</v>
      </c>
      <c r="B268" s="7" t="str">
        <f>HYPERLINK("https://twitter.com/PdeSamos","@PdeSamos")</f>
        <v>@PdeSamos</v>
      </c>
      <c r="C268" s="8" t="s">
        <v>1193</v>
      </c>
      <c r="D268" s="9" t="s">
        <v>1194</v>
      </c>
      <c r="E268" s="10" t="str">
        <f>HYPERLINK("https://twitter.com/PdeSamos/status/1071383427952336896","1071383427952336896")</f>
        <v>1071383427952336896</v>
      </c>
      <c r="F268" s="12"/>
      <c r="G268" s="11" t="s">
        <v>1197</v>
      </c>
      <c r="H268" s="12"/>
      <c r="I268" s="13">
        <v>1</v>
      </c>
      <c r="J268" s="13">
        <v>1</v>
      </c>
      <c r="K268" s="14" t="str">
        <f>HYPERLINK("http://republico.ddns.net","App Libertad PdeSamos")</f>
        <v>App Libertad PdeSamos</v>
      </c>
      <c r="L268" s="13">
        <v>5398</v>
      </c>
      <c r="M268" s="13">
        <v>5441</v>
      </c>
      <c r="N268" s="13">
        <v>12</v>
      </c>
      <c r="O268" s="15"/>
      <c r="P268" s="6">
        <v>42889.820567129631</v>
      </c>
      <c r="Q268" s="16" t="s">
        <v>1198</v>
      </c>
      <c r="R268" s="17" t="s">
        <v>1199</v>
      </c>
      <c r="S268" s="12"/>
      <c r="T268" s="12"/>
      <c r="U268" s="10" t="str">
        <f>HYPERLINK("https://pbs.twimg.com/profile_images/871063742003511296/xK2IYbrO.jpg","View")</f>
        <v>View</v>
      </c>
    </row>
    <row r="269" spans="1:21" ht="20.399999999999999">
      <c r="A269" s="6">
        <v>43442.567465277782</v>
      </c>
      <c r="B269" s="7" t="str">
        <f>HYPERLINK("https://twitter.com/anaruiz84695361","@anaruiz84695361")</f>
        <v>@anaruiz84695361</v>
      </c>
      <c r="C269" s="8" t="s">
        <v>1200</v>
      </c>
      <c r="D269" s="9" t="s">
        <v>1201</v>
      </c>
      <c r="E269" s="10" t="str">
        <f>HYPERLINK("https://twitter.com/anaruiz84695361/status/1071383177841860609","1071383177841860609")</f>
        <v>1071383177841860609</v>
      </c>
      <c r="F269" s="11" t="s">
        <v>1202</v>
      </c>
      <c r="G269" s="12"/>
      <c r="H269" s="12"/>
      <c r="I269" s="13">
        <v>0</v>
      </c>
      <c r="J269" s="13">
        <v>0</v>
      </c>
      <c r="K269" s="14" t="str">
        <f>HYPERLINK("https://ifttt.com","IFTTT")</f>
        <v>IFTTT</v>
      </c>
      <c r="L269" s="13">
        <v>2</v>
      </c>
      <c r="M269" s="13">
        <v>2</v>
      </c>
      <c r="N269" s="13">
        <v>0</v>
      </c>
      <c r="O269" s="15"/>
      <c r="P269" s="6">
        <v>43435.91887731482</v>
      </c>
      <c r="Q269" s="16" t="s">
        <v>207</v>
      </c>
      <c r="R269" s="17" t="s">
        <v>1203</v>
      </c>
      <c r="S269" s="12"/>
      <c r="T269" s="12"/>
      <c r="U269" s="10" t="str">
        <f>HYPERLINK("https://pbs.twimg.com/profile_images/1068973946148667392/kSRCEH4X.jpg","View")</f>
        <v>View</v>
      </c>
    </row>
    <row r="270" spans="1:21" ht="61.2">
      <c r="A270" s="6">
        <v>43442.566793981481</v>
      </c>
      <c r="B270" s="7" t="str">
        <f>HYPERLINK("https://twitter.com/Jesusestrella44","@Jesusestrella44")</f>
        <v>@Jesusestrella44</v>
      </c>
      <c r="C270" s="8" t="s">
        <v>1204</v>
      </c>
      <c r="D270" s="9" t="s">
        <v>1205</v>
      </c>
      <c r="E270" s="10" t="str">
        <f>HYPERLINK("https://twitter.com/Jesusestrella44/status/1071382935461355520","1071382935461355520")</f>
        <v>1071382935461355520</v>
      </c>
      <c r="F270" s="12"/>
      <c r="G270" s="12"/>
      <c r="H270" s="12"/>
      <c r="I270" s="13">
        <v>3</v>
      </c>
      <c r="J270" s="13">
        <v>4</v>
      </c>
      <c r="K270" s="14" t="str">
        <f>HYPERLINK("http://twitter.com/download/android","Twitter for Android")</f>
        <v>Twitter for Android</v>
      </c>
      <c r="L270" s="13">
        <v>166</v>
      </c>
      <c r="M270" s="13">
        <v>386</v>
      </c>
      <c r="N270" s="13">
        <v>1</v>
      </c>
      <c r="O270" s="15"/>
      <c r="P270" s="6">
        <v>42756.977662037039</v>
      </c>
      <c r="Q270" s="16" t="s">
        <v>1206</v>
      </c>
      <c r="R270" s="17" t="s">
        <v>1207</v>
      </c>
      <c r="S270" s="12"/>
      <c r="T270" s="12"/>
      <c r="U270" s="10" t="str">
        <f>HYPERLINK("https://pbs.twimg.com/profile_images/1069922776050479105/n1AUf8js.jpg","View")</f>
        <v>View</v>
      </c>
    </row>
    <row r="271" spans="1:21" ht="20.399999999999999">
      <c r="A271" s="6">
        <v>43442.566516203704</v>
      </c>
      <c r="B271" s="7" t="str">
        <f>HYPERLINK("https://twitter.com/Beagarcia3Bea","@Beagarcia3Bea")</f>
        <v>@Beagarcia3Bea</v>
      </c>
      <c r="C271" s="8" t="s">
        <v>1208</v>
      </c>
      <c r="D271" s="9" t="s">
        <v>1209</v>
      </c>
      <c r="E271" s="10" t="str">
        <f>HYPERLINK("https://twitter.com/Beagarcia3Bea/status/1071382834168905728","1071382834168905728")</f>
        <v>1071382834168905728</v>
      </c>
      <c r="F271" s="11" t="s">
        <v>1210</v>
      </c>
      <c r="G271" s="12"/>
      <c r="H271" s="12"/>
      <c r="I271" s="13">
        <v>0</v>
      </c>
      <c r="J271" s="13">
        <v>0</v>
      </c>
      <c r="K271" s="14" t="str">
        <f>HYPERLINK("http://www.facebook.com/twitter","Facebook")</f>
        <v>Facebook</v>
      </c>
      <c r="L271" s="13">
        <v>398</v>
      </c>
      <c r="M271" s="13">
        <v>462</v>
      </c>
      <c r="N271" s="13">
        <v>13</v>
      </c>
      <c r="O271" s="15"/>
      <c r="P271" s="6">
        <v>41336.759409722225</v>
      </c>
      <c r="Q271" s="12"/>
      <c r="R271" s="17" t="s">
        <v>1211</v>
      </c>
      <c r="S271" s="12"/>
      <c r="T271" s="12"/>
      <c r="U271" s="10" t="str">
        <f>HYPERLINK("https://pbs.twimg.com/profile_images/1002858610811121664/2Hrnv2LE.jpg","View")</f>
        <v>View</v>
      </c>
    </row>
    <row r="272" spans="1:21" ht="20.399999999999999">
      <c r="A272" s="6">
        <v>43442.566412037035</v>
      </c>
      <c r="B272" s="7" t="str">
        <f>HYPERLINK("https://twitter.com/AgustinGRNieva","@AgustinGRNieva")</f>
        <v>@AgustinGRNieva</v>
      </c>
      <c r="C272" s="8" t="s">
        <v>1212</v>
      </c>
      <c r="D272" s="9" t="s">
        <v>1213</v>
      </c>
      <c r="E272" s="10" t="str">
        <f>HYPERLINK("https://twitter.com/AgustinGRNieva/status/1071382795673571328","1071382795673571328")</f>
        <v>1071382795673571328</v>
      </c>
      <c r="F272" s="12"/>
      <c r="G272" s="11" t="s">
        <v>1214</v>
      </c>
      <c r="H272" s="12"/>
      <c r="I272" s="13">
        <v>0</v>
      </c>
      <c r="J272" s="13">
        <v>0</v>
      </c>
      <c r="K272" s="14" t="str">
        <f>HYPERLINK("http://twitter.com/download/android","Twitter for Android")</f>
        <v>Twitter for Android</v>
      </c>
      <c r="L272" s="13">
        <v>97</v>
      </c>
      <c r="M272" s="13">
        <v>194</v>
      </c>
      <c r="N272" s="13">
        <v>3</v>
      </c>
      <c r="O272" s="15"/>
      <c r="P272" s="6">
        <v>42006.771469907406</v>
      </c>
      <c r="Q272" s="16" t="s">
        <v>1215</v>
      </c>
      <c r="R272" s="17" t="s">
        <v>1216</v>
      </c>
      <c r="S272" s="12"/>
      <c r="T272" s="12"/>
      <c r="U272" s="10" t="str">
        <f>HYPERLINK("https://pbs.twimg.com/profile_images/597803889199558656/alS2-6rG.jpg","View")</f>
        <v>View</v>
      </c>
    </row>
    <row r="273" spans="1:21" ht="30.6">
      <c r="A273" s="6">
        <v>43442.566076388888</v>
      </c>
      <c r="B273" s="7" t="str">
        <f>HYPERLINK("https://twitter.com/smoda","@smoda")</f>
        <v>@smoda</v>
      </c>
      <c r="C273" s="8" t="s">
        <v>1217</v>
      </c>
      <c r="D273" s="9" t="s">
        <v>1201</v>
      </c>
      <c r="E273" s="10" t="str">
        <f>HYPERLINK("https://twitter.com/smoda/status/1071382674399526912","1071382674399526912")</f>
        <v>1071382674399526912</v>
      </c>
      <c r="F273" s="11" t="s">
        <v>1202</v>
      </c>
      <c r="G273" s="12"/>
      <c r="H273" s="12"/>
      <c r="I273" s="13">
        <v>1</v>
      </c>
      <c r="J273" s="13">
        <v>3</v>
      </c>
      <c r="K273" s="14" t="str">
        <f>HYPERLINK("https://www.hootsuite.com","Hootsuite Inc.")</f>
        <v>Hootsuite Inc.</v>
      </c>
      <c r="L273" s="13">
        <v>337915</v>
      </c>
      <c r="M273" s="13">
        <v>1268</v>
      </c>
      <c r="N273" s="13">
        <v>1994</v>
      </c>
      <c r="O273" s="18" t="s">
        <v>41</v>
      </c>
      <c r="P273" s="6">
        <v>39994.668796296297</v>
      </c>
      <c r="Q273" s="16" t="s">
        <v>60</v>
      </c>
      <c r="R273" s="17" t="s">
        <v>1218</v>
      </c>
      <c r="S273" s="11" t="s">
        <v>1219</v>
      </c>
      <c r="T273" s="12"/>
      <c r="U273" s="10" t="str">
        <f>HYPERLINK("https://pbs.twimg.com/profile_images/881847151059488768/qD1Gn9dw.jpg","View")</f>
        <v>View</v>
      </c>
    </row>
    <row r="274" spans="1:21" ht="51">
      <c r="A274" s="6">
        <v>43442.565972222219</v>
      </c>
      <c r="B274" s="7" t="str">
        <f>HYPERLINK("https://twitter.com/Beagarcia3Bea","@Beagarcia3Bea")</f>
        <v>@Beagarcia3Bea</v>
      </c>
      <c r="C274" s="8" t="s">
        <v>1208</v>
      </c>
      <c r="D274" s="9" t="s">
        <v>1220</v>
      </c>
      <c r="E274" s="10" t="str">
        <f>HYPERLINK("https://twitter.com/Beagarcia3Bea/status/1071382636990525441","1071382636990525441")</f>
        <v>1071382636990525441</v>
      </c>
      <c r="F274" s="16" t="s">
        <v>1221</v>
      </c>
      <c r="G274" s="12"/>
      <c r="H274" s="12"/>
      <c r="I274" s="13">
        <v>0</v>
      </c>
      <c r="J274" s="13">
        <v>0</v>
      </c>
      <c r="K274" s="14" t="str">
        <f>HYPERLINK("http://www.facebook.com/twitter","Facebook")</f>
        <v>Facebook</v>
      </c>
      <c r="L274" s="13">
        <v>398</v>
      </c>
      <c r="M274" s="13">
        <v>462</v>
      </c>
      <c r="N274" s="13">
        <v>13</v>
      </c>
      <c r="O274" s="15"/>
      <c r="P274" s="6">
        <v>41336.759409722225</v>
      </c>
      <c r="Q274" s="12"/>
      <c r="R274" s="17" t="s">
        <v>1211</v>
      </c>
      <c r="S274" s="12"/>
      <c r="T274" s="12"/>
      <c r="U274" s="10" t="str">
        <f>HYPERLINK("https://pbs.twimg.com/profile_images/1002858610811121664/2Hrnv2LE.jpg","View")</f>
        <v>View</v>
      </c>
    </row>
    <row r="275" spans="1:21" ht="51">
      <c r="A275" s="6">
        <v>43442.564027777778</v>
      </c>
      <c r="B275" s="7" t="str">
        <f>HYPERLINK("https://twitter.com/sirianegro","@sirianegro")</f>
        <v>@sirianegro</v>
      </c>
      <c r="C275" s="8" t="s">
        <v>1222</v>
      </c>
      <c r="D275" s="9" t="s">
        <v>1224</v>
      </c>
      <c r="E275" s="10" t="str">
        <f>HYPERLINK("https://twitter.com/sirianegro/status/1071381929897938944","1071381929897938944")</f>
        <v>1071381929897938944</v>
      </c>
      <c r="F275" s="16" t="s">
        <v>1225</v>
      </c>
      <c r="G275" s="11" t="s">
        <v>1226</v>
      </c>
      <c r="H275" s="12"/>
      <c r="I275" s="13">
        <v>0</v>
      </c>
      <c r="J275" s="13">
        <v>0</v>
      </c>
      <c r="K275" s="14" t="str">
        <f>HYPERLINK("http://twitter.com/download/android","Twitter for Android")</f>
        <v>Twitter for Android</v>
      </c>
      <c r="L275" s="13">
        <v>60</v>
      </c>
      <c r="M275" s="13">
        <v>134</v>
      </c>
      <c r="N275" s="13">
        <v>0</v>
      </c>
      <c r="O275" s="15"/>
      <c r="P275" s="6">
        <v>40571.114930555559</v>
      </c>
      <c r="Q275" s="12"/>
      <c r="R275" s="17" t="s">
        <v>1227</v>
      </c>
      <c r="S275" s="12"/>
      <c r="T275" s="12"/>
      <c r="U275" s="10" t="str">
        <f>HYPERLINK("https://pbs.twimg.com/profile_images/1028433612637659136/fi7QSd4d.jpg","View")</f>
        <v>View</v>
      </c>
    </row>
    <row r="276" spans="1:21" ht="40.799999999999997">
      <c r="A276" s="6">
        <v>43442.563645833332</v>
      </c>
      <c r="B276" s="7" t="str">
        <f>HYPERLINK("https://twitter.com/Luisgos3","@Luisgos3")</f>
        <v>@Luisgos3</v>
      </c>
      <c r="C276" s="8" t="s">
        <v>1228</v>
      </c>
      <c r="D276" s="9" t="s">
        <v>1229</v>
      </c>
      <c r="E276" s="10" t="str">
        <f>HYPERLINK("https://twitter.com/Luisgos3/status/1071381793599881216","1071381793599881216")</f>
        <v>1071381793599881216</v>
      </c>
      <c r="F276" s="16" t="s">
        <v>1230</v>
      </c>
      <c r="G276" s="12"/>
      <c r="H276" s="12"/>
      <c r="I276" s="13">
        <v>0</v>
      </c>
      <c r="J276" s="13">
        <v>0</v>
      </c>
      <c r="K276" s="14" t="str">
        <f>HYPERLINK("http://twitter.com/download/iphone","Twitter for iPhone")</f>
        <v>Twitter for iPhone</v>
      </c>
      <c r="L276" s="13">
        <v>105</v>
      </c>
      <c r="M276" s="13">
        <v>129</v>
      </c>
      <c r="N276" s="13">
        <v>0</v>
      </c>
      <c r="O276" s="15"/>
      <c r="P276" s="6">
        <v>43087.611481481479</v>
      </c>
      <c r="Q276" s="16" t="s">
        <v>60</v>
      </c>
      <c r="R276" s="19"/>
      <c r="S276" s="12"/>
      <c r="T276" s="12"/>
      <c r="U276" s="10" t="str">
        <f>HYPERLINK("https://pbs.twimg.com/profile_images/970055882338979841/S0rr3Oae.jpg","View")</f>
        <v>View</v>
      </c>
    </row>
    <row r="277" spans="1:21" ht="20.399999999999999">
      <c r="A277" s="6">
        <v>43442.563437500001</v>
      </c>
      <c r="B277" s="7" t="str">
        <f>HYPERLINK("https://twitter.com/bravospalante","@bravospalante")</f>
        <v>@bravospalante</v>
      </c>
      <c r="C277" s="8" t="s">
        <v>718</v>
      </c>
      <c r="D277" s="9" t="s">
        <v>1231</v>
      </c>
      <c r="E277" s="10" t="str">
        <f>HYPERLINK("https://twitter.com/bravospalante/status/1071381716999249922","1071381716999249922")</f>
        <v>1071381716999249922</v>
      </c>
      <c r="F277" s="11" t="s">
        <v>1232</v>
      </c>
      <c r="G277" s="12"/>
      <c r="H277" s="12"/>
      <c r="I277" s="13">
        <v>3</v>
      </c>
      <c r="J277" s="13">
        <v>3</v>
      </c>
      <c r="K277" s="14" t="str">
        <f>HYPERLINK("https://ifttt.com","IFTTT")</f>
        <v>IFTTT</v>
      </c>
      <c r="L277" s="13">
        <v>59</v>
      </c>
      <c r="M277" s="13">
        <v>214</v>
      </c>
      <c r="N277" s="13">
        <v>0</v>
      </c>
      <c r="O277" s="15"/>
      <c r="P277" s="6">
        <v>42894.9847337963</v>
      </c>
      <c r="Q277" s="12"/>
      <c r="R277" s="17" t="s">
        <v>720</v>
      </c>
      <c r="S277" s="12"/>
      <c r="T277" s="12"/>
      <c r="U277" s="10" t="str">
        <f>HYPERLINK("https://pbs.twimg.com/profile_images/915053690494517248/y_iFqEks.jpg","View")</f>
        <v>View</v>
      </c>
    </row>
    <row r="278" spans="1:21" ht="102">
      <c r="A278" s="6">
        <v>43442.563263888893</v>
      </c>
      <c r="B278" s="7" t="str">
        <f>HYPERLINK("https://twitter.com/GrouchoMarcos","@GrouchoMarcos")</f>
        <v>@GrouchoMarcos</v>
      </c>
      <c r="C278" s="8" t="s">
        <v>1233</v>
      </c>
      <c r="D278" s="9" t="s">
        <v>1234</v>
      </c>
      <c r="E278" s="10" t="str">
        <f>HYPERLINK("https://twitter.com/GrouchoMarcos/status/1071381656521637888","1071381656521637888")</f>
        <v>1071381656521637888</v>
      </c>
      <c r="F278" s="16" t="s">
        <v>1235</v>
      </c>
      <c r="G278" s="12"/>
      <c r="H278" s="12"/>
      <c r="I278" s="13">
        <v>0</v>
      </c>
      <c r="J278" s="13">
        <v>0</v>
      </c>
      <c r="K278" s="14" t="str">
        <f>HYPERLINK("http://twitter.com/download/android","Twitter for Android")</f>
        <v>Twitter for Android</v>
      </c>
      <c r="L278" s="13">
        <v>575</v>
      </c>
      <c r="M278" s="13">
        <v>713</v>
      </c>
      <c r="N278" s="13">
        <v>4</v>
      </c>
      <c r="O278" s="15"/>
      <c r="P278" s="6">
        <v>41645.792708333334</v>
      </c>
      <c r="Q278" s="12"/>
      <c r="R278" s="17" t="s">
        <v>1236</v>
      </c>
      <c r="S278" s="12"/>
      <c r="T278" s="12"/>
      <c r="U278" s="10" t="str">
        <f>HYPERLINK("https://pbs.twimg.com/profile_images/625390248776855552/PUrTGxIQ.jpg","View")</f>
        <v>View</v>
      </c>
    </row>
    <row r="279" spans="1:21" ht="40.799999999999997">
      <c r="A279" s="6">
        <v>43442.563090277778</v>
      </c>
      <c r="B279" s="7" t="str">
        <f>HYPERLINK("https://twitter.com/garciabolta","@garciabolta")</f>
        <v>@garciabolta</v>
      </c>
      <c r="C279" s="8" t="s">
        <v>1237</v>
      </c>
      <c r="D279" s="9" t="s">
        <v>1175</v>
      </c>
      <c r="E279" s="10" t="str">
        <f>HYPERLINK("https://twitter.com/garciabolta/status/1071381593648963584","1071381593648963584")</f>
        <v>1071381593648963584</v>
      </c>
      <c r="F279" s="11" t="s">
        <v>1176</v>
      </c>
      <c r="G279" s="12"/>
      <c r="H279" s="12"/>
      <c r="I279" s="13">
        <v>0</v>
      </c>
      <c r="J279" s="13">
        <v>0</v>
      </c>
      <c r="K279" s="14" t="str">
        <f>HYPERLINK("http://twitter.com","Twitter Web Client")</f>
        <v>Twitter Web Client</v>
      </c>
      <c r="L279" s="13">
        <v>503</v>
      </c>
      <c r="M279" s="13">
        <v>407</v>
      </c>
      <c r="N279" s="13">
        <v>8</v>
      </c>
      <c r="O279" s="15"/>
      <c r="P279" s="6">
        <v>41999.924143518518</v>
      </c>
      <c r="Q279" s="16" t="s">
        <v>1238</v>
      </c>
      <c r="R279" s="17" t="s">
        <v>1239</v>
      </c>
      <c r="S279" s="12"/>
      <c r="T279" s="12"/>
      <c r="U279" s="10" t="str">
        <f>HYPERLINK("https://pbs.twimg.com/profile_images/928013781195771904/xTP-rXbc.jpg","View")</f>
        <v>View</v>
      </c>
    </row>
    <row r="280" spans="1:21" ht="40.799999999999997">
      <c r="A280" s="6">
        <v>43442.5621412037</v>
      </c>
      <c r="B280" s="7" t="str">
        <f>HYPERLINK("https://twitter.com/jaimeberenguer","@jaimeberenguer")</f>
        <v>@jaimeberenguer</v>
      </c>
      <c r="C280" s="8" t="s">
        <v>1240</v>
      </c>
      <c r="D280" s="9" t="s">
        <v>1241</v>
      </c>
      <c r="E280" s="10" t="str">
        <f>HYPERLINK("https://twitter.com/jaimeberenguer/status/1071381246863966208","1071381246863966208")</f>
        <v>1071381246863966208</v>
      </c>
      <c r="F280" s="12"/>
      <c r="G280" s="12"/>
      <c r="H280" s="12"/>
      <c r="I280" s="13">
        <v>12</v>
      </c>
      <c r="J280" s="13">
        <v>17</v>
      </c>
      <c r="K280" s="14" t="str">
        <f>HYPERLINK("http://twitter.com/download/iphone","Twitter for iPhone")</f>
        <v>Twitter for iPhone</v>
      </c>
      <c r="L280" s="13">
        <v>14566</v>
      </c>
      <c r="M280" s="13">
        <v>2724</v>
      </c>
      <c r="N280" s="13">
        <v>211</v>
      </c>
      <c r="O280" s="15"/>
      <c r="P280" s="6">
        <v>40040.424120370371</v>
      </c>
      <c r="Q280" s="12"/>
      <c r="R280" s="17" t="s">
        <v>1242</v>
      </c>
      <c r="S280" s="12"/>
      <c r="T280" s="12"/>
      <c r="U280" s="10" t="str">
        <f>HYPERLINK("https://pbs.twimg.com/profile_images/1048222448372604936/LV72DRWb.jpg","View")</f>
        <v>View</v>
      </c>
    </row>
    <row r="281" spans="1:21" ht="51">
      <c r="A281" s="6">
        <v>43442.561851851853</v>
      </c>
      <c r="B281" s="7" t="str">
        <f>HYPERLINK("https://twitter.com/AdeSiracusa","@AdeSiracusa")</f>
        <v>@AdeSiracusa</v>
      </c>
      <c r="C281" s="8" t="s">
        <v>1243</v>
      </c>
      <c r="D281" s="9" t="s">
        <v>1244</v>
      </c>
      <c r="E281" s="10" t="str">
        <f>HYPERLINK("https://twitter.com/AdeSiracusa/status/1071381144850087941","1071381144850087941")</f>
        <v>1071381144850087941</v>
      </c>
      <c r="F281" s="12"/>
      <c r="G281" s="11" t="s">
        <v>1245</v>
      </c>
      <c r="H281" s="12"/>
      <c r="I281" s="13">
        <v>0</v>
      </c>
      <c r="J281" s="13">
        <v>0</v>
      </c>
      <c r="K281" s="14" t="str">
        <f>HYPERLINK("http://www.republicosvenezuela.com/","AdeSiracusa")</f>
        <v>AdeSiracusa</v>
      </c>
      <c r="L281" s="13">
        <v>4091</v>
      </c>
      <c r="M281" s="13">
        <v>4122</v>
      </c>
      <c r="N281" s="13">
        <v>12</v>
      </c>
      <c r="O281" s="15"/>
      <c r="P281" s="6">
        <v>42958.576388888891</v>
      </c>
      <c r="Q281" s="16" t="s">
        <v>276</v>
      </c>
      <c r="R281" s="17" t="s">
        <v>1246</v>
      </c>
      <c r="S281" s="12"/>
      <c r="T281" s="12"/>
      <c r="U281" s="10" t="str">
        <f>HYPERLINK("https://pbs.twimg.com/profile_images/895978354591105024/x2wNXrPl.jpg","View")</f>
        <v>View</v>
      </c>
    </row>
    <row r="282" spans="1:21" ht="30.6">
      <c r="A282" s="6">
        <v>43442.559976851851</v>
      </c>
      <c r="B282" s="7" t="str">
        <f>HYPERLINK("https://twitter.com/EFEnoticias","@EFEnoticias")</f>
        <v>@EFEnoticias</v>
      </c>
      <c r="C282" s="8" t="s">
        <v>909</v>
      </c>
      <c r="D282" s="9" t="s">
        <v>1231</v>
      </c>
      <c r="E282" s="10" t="str">
        <f>HYPERLINK("https://twitter.com/EFEnoticias/status/1071380463837741057","1071380463837741057")</f>
        <v>1071380463837741057</v>
      </c>
      <c r="F282" s="11" t="s">
        <v>1232</v>
      </c>
      <c r="G282" s="12"/>
      <c r="H282" s="12"/>
      <c r="I282" s="13">
        <v>4</v>
      </c>
      <c r="J282" s="13">
        <v>0</v>
      </c>
      <c r="K282" s="14" t="str">
        <f>HYPERLINK("https://about.twitter.com/products/tweetdeck","TweetDeck")</f>
        <v>TweetDeck</v>
      </c>
      <c r="L282" s="13">
        <v>1431878</v>
      </c>
      <c r="M282" s="13">
        <v>63</v>
      </c>
      <c r="N282" s="13">
        <v>16785</v>
      </c>
      <c r="O282" s="18" t="s">
        <v>41</v>
      </c>
      <c r="P282" s="6">
        <v>40193.420092592591</v>
      </c>
      <c r="Q282" s="16" t="s">
        <v>200</v>
      </c>
      <c r="R282" s="17" t="s">
        <v>910</v>
      </c>
      <c r="S282" s="11" t="s">
        <v>911</v>
      </c>
      <c r="T282" s="12"/>
      <c r="U282" s="10" t="str">
        <f>HYPERLINK("https://pbs.twimg.com/profile_images/930868073464320000/r4PAby_1.jpg","View")</f>
        <v>View</v>
      </c>
    </row>
    <row r="283" spans="1:21" ht="30.6">
      <c r="A283" s="6">
        <v>43442.559085648143</v>
      </c>
      <c r="B283" s="7" t="str">
        <f>HYPERLINK("https://twitter.com/mehuelea","@mehuelea")</f>
        <v>@mehuelea</v>
      </c>
      <c r="C283" s="8" t="s">
        <v>1247</v>
      </c>
      <c r="D283" s="9" t="s">
        <v>1248</v>
      </c>
      <c r="E283" s="10" t="str">
        <f>HYPERLINK("https://twitter.com/mehuelea/status/1071380141622943744","1071380141622943744")</f>
        <v>1071380141622943744</v>
      </c>
      <c r="F283" s="11" t="s">
        <v>1250</v>
      </c>
      <c r="G283" s="12"/>
      <c r="H283" s="12"/>
      <c r="I283" s="13">
        <v>0</v>
      </c>
      <c r="J283" s="13">
        <v>0</v>
      </c>
      <c r="K283" s="14" t="str">
        <f>HYPERLINK("http://twitter.com/download/android","Twitter for Android")</f>
        <v>Twitter for Android</v>
      </c>
      <c r="L283" s="13">
        <v>3359</v>
      </c>
      <c r="M283" s="13">
        <v>2757</v>
      </c>
      <c r="N283" s="13">
        <v>26</v>
      </c>
      <c r="O283" s="15"/>
      <c r="P283" s="6">
        <v>40682.359872685185</v>
      </c>
      <c r="Q283" s="16" t="s">
        <v>1251</v>
      </c>
      <c r="R283" s="17" t="s">
        <v>1252</v>
      </c>
      <c r="S283" s="11" t="s">
        <v>1253</v>
      </c>
      <c r="T283" s="12"/>
      <c r="U283" s="10" t="str">
        <f>HYPERLINK("https://pbs.twimg.com/profile_images/786420110919696384/2z6X6h6j.jpg","View")</f>
        <v>View</v>
      </c>
    </row>
    <row r="284" spans="1:21" ht="61.2">
      <c r="A284" s="6">
        <v>43442.559016203704</v>
      </c>
      <c r="B284" s="7" t="str">
        <f>HYPERLINK("https://twitter.com/Beagarcia3Bea","@Beagarcia3Bea")</f>
        <v>@Beagarcia3Bea</v>
      </c>
      <c r="C284" s="8" t="s">
        <v>1208</v>
      </c>
      <c r="D284" s="9" t="s">
        <v>1254</v>
      </c>
      <c r="E284" s="10" t="str">
        <f>HYPERLINK("https://twitter.com/Beagarcia3Bea/status/1071380116268294145","1071380116268294145")</f>
        <v>1071380116268294145</v>
      </c>
      <c r="F284" s="11" t="s">
        <v>1255</v>
      </c>
      <c r="G284" s="11" t="s">
        <v>933</v>
      </c>
      <c r="H284" s="12"/>
      <c r="I284" s="13">
        <v>0</v>
      </c>
      <c r="J284" s="13">
        <v>0</v>
      </c>
      <c r="K284" s="14" t="str">
        <f>HYPERLINK("http://www.facebook.com/twitter","Facebook")</f>
        <v>Facebook</v>
      </c>
      <c r="L284" s="13">
        <v>398</v>
      </c>
      <c r="M284" s="13">
        <v>462</v>
      </c>
      <c r="N284" s="13">
        <v>13</v>
      </c>
      <c r="O284" s="15"/>
      <c r="P284" s="6">
        <v>41336.759409722225</v>
      </c>
      <c r="Q284" s="12"/>
      <c r="R284" s="17" t="s">
        <v>1211</v>
      </c>
      <c r="S284" s="12"/>
      <c r="T284" s="12"/>
      <c r="U284" s="10" t="str">
        <f>HYPERLINK("https://pbs.twimg.com/profile_images/1002858610811121664/2Hrnv2LE.jpg","View")</f>
        <v>View</v>
      </c>
    </row>
    <row r="285" spans="1:21" ht="30.6">
      <c r="A285" s="6">
        <v>43442.556018518517</v>
      </c>
      <c r="B285" s="7" t="str">
        <f>HYPERLINK("https://twitter.com/mehuelea","@mehuelea")</f>
        <v>@mehuelea</v>
      </c>
      <c r="C285" s="8" t="s">
        <v>1247</v>
      </c>
      <c r="D285" s="9" t="s">
        <v>1256</v>
      </c>
      <c r="E285" s="10" t="str">
        <f>HYPERLINK("https://twitter.com/mehuelea/status/1071379029008232451","1071379029008232451")</f>
        <v>1071379029008232451</v>
      </c>
      <c r="F285" s="11" t="s">
        <v>1250</v>
      </c>
      <c r="G285" s="12"/>
      <c r="H285" s="12"/>
      <c r="I285" s="13">
        <v>0</v>
      </c>
      <c r="J285" s="13">
        <v>0</v>
      </c>
      <c r="K285" s="14" t="str">
        <f t="shared" ref="K285:K286" si="50">HYPERLINK("http://twitter.com/download/android","Twitter for Android")</f>
        <v>Twitter for Android</v>
      </c>
      <c r="L285" s="13">
        <v>3359</v>
      </c>
      <c r="M285" s="13">
        <v>2757</v>
      </c>
      <c r="N285" s="13">
        <v>26</v>
      </c>
      <c r="O285" s="15"/>
      <c r="P285" s="6">
        <v>40682.359872685185</v>
      </c>
      <c r="Q285" s="16" t="s">
        <v>1251</v>
      </c>
      <c r="R285" s="17" t="s">
        <v>1252</v>
      </c>
      <c r="S285" s="11" t="s">
        <v>1253</v>
      </c>
      <c r="T285" s="12"/>
      <c r="U285" s="10" t="str">
        <f>HYPERLINK("https://pbs.twimg.com/profile_images/786420110919696384/2z6X6h6j.jpg","View")</f>
        <v>View</v>
      </c>
    </row>
    <row r="286" spans="1:21" ht="40.799999999999997">
      <c r="A286" s="6">
        <v>43442.552800925929</v>
      </c>
      <c r="B286" s="7" t="str">
        <f>HYPERLINK("https://twitter.com/Topomares","@Topomares")</f>
        <v>@Topomares</v>
      </c>
      <c r="C286" s="8" t="s">
        <v>1257</v>
      </c>
      <c r="D286" s="9" t="s">
        <v>1258</v>
      </c>
      <c r="E286" s="10" t="str">
        <f>HYPERLINK("https://twitter.com/Topomares/status/1071377863075602433","1071377863075602433")</f>
        <v>1071377863075602433</v>
      </c>
      <c r="F286" s="12"/>
      <c r="G286" s="12"/>
      <c r="H286" s="12"/>
      <c r="I286" s="13">
        <v>0</v>
      </c>
      <c r="J286" s="13">
        <v>0</v>
      </c>
      <c r="K286" s="14" t="str">
        <f t="shared" si="50"/>
        <v>Twitter for Android</v>
      </c>
      <c r="L286" s="13">
        <v>159</v>
      </c>
      <c r="M286" s="13">
        <v>616</v>
      </c>
      <c r="N286" s="13">
        <v>2</v>
      </c>
      <c r="O286" s="15"/>
      <c r="P286" s="6">
        <v>40416.968703703707</v>
      </c>
      <c r="Q286" s="16" t="s">
        <v>1259</v>
      </c>
      <c r="R286" s="17" t="s">
        <v>1260</v>
      </c>
      <c r="S286" s="11" t="s">
        <v>1261</v>
      </c>
      <c r="T286" s="12"/>
      <c r="U286" s="10" t="str">
        <f>HYPERLINK("https://pbs.twimg.com/profile_images/2234681090/pa_youtube.JPG","View")</f>
        <v>View</v>
      </c>
    </row>
    <row r="287" spans="1:21" ht="20.399999999999999">
      <c r="A287" s="6">
        <v>43442.552060185189</v>
      </c>
      <c r="B287" s="7" t="str">
        <f>HYPERLINK("https://twitter.com/EP_Mundo","@EP_Mundo")</f>
        <v>@EP_Mundo</v>
      </c>
      <c r="C287" s="8" t="s">
        <v>735</v>
      </c>
      <c r="D287" s="9" t="s">
        <v>736</v>
      </c>
      <c r="E287" s="10" t="str">
        <f>HYPERLINK("https://twitter.com/EP_Mundo/status/1071377593449017345","1071377593449017345")</f>
        <v>1071377593449017345</v>
      </c>
      <c r="F287" s="11" t="s">
        <v>737</v>
      </c>
      <c r="G287" s="11" t="s">
        <v>1262</v>
      </c>
      <c r="H287" s="12"/>
      <c r="I287" s="13">
        <v>0</v>
      </c>
      <c r="J287" s="13">
        <v>0</v>
      </c>
      <c r="K287" s="14" t="str">
        <f>HYPERLINK("http://epmundo.com","Tuiteo TOP EP (2)")</f>
        <v>Tuiteo TOP EP (2)</v>
      </c>
      <c r="L287" s="13">
        <v>510220</v>
      </c>
      <c r="M287" s="13">
        <v>301867</v>
      </c>
      <c r="N287" s="13">
        <v>1363</v>
      </c>
      <c r="O287" s="15"/>
      <c r="P287" s="6">
        <v>40203.223078703704</v>
      </c>
      <c r="Q287" s="12"/>
      <c r="R287" s="17" t="s">
        <v>739</v>
      </c>
      <c r="S287" s="11" t="s">
        <v>740</v>
      </c>
      <c r="T287" s="12"/>
      <c r="U287" s="10" t="str">
        <f>HYPERLINK("https://pbs.twimg.com/profile_images/958329583778099200/87-xiuzB.jpg","View")</f>
        <v>View</v>
      </c>
    </row>
    <row r="288" spans="1:21" ht="30.6">
      <c r="A288" s="6">
        <v>43442.548310185186</v>
      </c>
      <c r="B288" s="7" t="str">
        <f>HYPERLINK("https://twitter.com/AmparoRubiales","@AmparoRubiales")</f>
        <v>@AmparoRubiales</v>
      </c>
      <c r="C288" s="8" t="s">
        <v>1263</v>
      </c>
      <c r="D288" s="9" t="s">
        <v>1035</v>
      </c>
      <c r="E288" s="10" t="str">
        <f>HYPERLINK("https://twitter.com/AmparoRubiales/status/1071376236700688384","1071376236700688384")</f>
        <v>1071376236700688384</v>
      </c>
      <c r="F288" s="11" t="s">
        <v>1036</v>
      </c>
      <c r="G288" s="12"/>
      <c r="H288" s="12"/>
      <c r="I288" s="13">
        <v>0</v>
      </c>
      <c r="J288" s="13">
        <v>1</v>
      </c>
      <c r="K288" s="14" t="str">
        <f>HYPERLINK("http://twitter.com/download/iphone","Twitter for iPhone")</f>
        <v>Twitter for iPhone</v>
      </c>
      <c r="L288" s="13">
        <v>13769</v>
      </c>
      <c r="M288" s="13">
        <v>2606</v>
      </c>
      <c r="N288" s="13">
        <v>268</v>
      </c>
      <c r="O288" s="15"/>
      <c r="P288" s="6">
        <v>40687.533900462964</v>
      </c>
      <c r="Q288" s="12"/>
      <c r="R288" s="17" t="s">
        <v>1264</v>
      </c>
      <c r="S288" s="12"/>
      <c r="T288" s="12"/>
      <c r="U288" s="10" t="str">
        <f>HYPERLINK("https://pbs.twimg.com/profile_images/664495189877202944/WYyFsQ5S.jpg","View")</f>
        <v>View</v>
      </c>
    </row>
    <row r="289" spans="1:21" ht="20.399999999999999">
      <c r="A289" s="6">
        <v>43442.546111111107</v>
      </c>
      <c r="B289" s="7" t="str">
        <f>HYPERLINK("https://twitter.com/Vzaino1","@Vzaino1")</f>
        <v>@Vzaino1</v>
      </c>
      <c r="C289" s="8" t="s">
        <v>1265</v>
      </c>
      <c r="D289" s="9" t="s">
        <v>1266</v>
      </c>
      <c r="E289" s="10" t="str">
        <f>HYPERLINK("https://twitter.com/Vzaino1/status/1071375440105926657","1071375440105926657")</f>
        <v>1071375440105926657</v>
      </c>
      <c r="F289" s="11" t="s">
        <v>1267</v>
      </c>
      <c r="G289" s="12"/>
      <c r="H289" s="12"/>
      <c r="I289" s="13">
        <v>1</v>
      </c>
      <c r="J289" s="13">
        <v>0</v>
      </c>
      <c r="K289" s="14" t="str">
        <f>HYPERLINK("http://twitter.com","Twitter Web Client")</f>
        <v>Twitter Web Client</v>
      </c>
      <c r="L289" s="13">
        <v>287</v>
      </c>
      <c r="M289" s="13">
        <v>654</v>
      </c>
      <c r="N289" s="13">
        <v>0</v>
      </c>
      <c r="O289" s="15"/>
      <c r="P289" s="6">
        <v>43402.79069444444</v>
      </c>
      <c r="Q289" s="12"/>
      <c r="R289" s="17" t="s">
        <v>1268</v>
      </c>
      <c r="S289" s="12"/>
      <c r="T289" s="12"/>
      <c r="U289" s="18" t="s">
        <v>67</v>
      </c>
    </row>
    <row r="290" spans="1:21" ht="71.400000000000006">
      <c r="A290" s="6">
        <v>43442.546099537038</v>
      </c>
      <c r="B290" s="7" t="str">
        <f>HYPERLINK("https://twitter.com/luisfpt1gmailc1","@luisfpt1gmailc1")</f>
        <v>@luisfpt1gmailc1</v>
      </c>
      <c r="C290" s="8" t="s">
        <v>1269</v>
      </c>
      <c r="D290" s="9" t="s">
        <v>1270</v>
      </c>
      <c r="E290" s="10" t="str">
        <f>HYPERLINK("https://twitter.com/luisfpt1gmailc1/status/1071375433013313536","1071375433013313536")</f>
        <v>1071375433013313536</v>
      </c>
      <c r="F290" s="12"/>
      <c r="G290" s="12"/>
      <c r="H290" s="12"/>
      <c r="I290" s="13">
        <v>0</v>
      </c>
      <c r="J290" s="13">
        <v>0</v>
      </c>
      <c r="K290" s="14" t="str">
        <f>HYPERLINK("http://twitter.com/download/android","Twitter for Android")</f>
        <v>Twitter for Android</v>
      </c>
      <c r="L290" s="13">
        <v>7</v>
      </c>
      <c r="M290" s="13">
        <v>63</v>
      </c>
      <c r="N290" s="13">
        <v>0</v>
      </c>
      <c r="O290" s="15"/>
      <c r="P290" s="6">
        <v>43434.996874999997</v>
      </c>
      <c r="Q290" s="12"/>
      <c r="R290" s="17" t="s">
        <v>1271</v>
      </c>
      <c r="S290" s="12"/>
      <c r="T290" s="12"/>
      <c r="U290" s="10" t="str">
        <f>HYPERLINK("https://pbs.twimg.com/profile_images/1070062787609718784/3cIDkmg7.jpg","View")</f>
        <v>View</v>
      </c>
    </row>
    <row r="291" spans="1:21" ht="51">
      <c r="A291" s="6">
        <v>43442.543483796297</v>
      </c>
      <c r="B291" s="7" t="str">
        <f>HYPERLINK("https://twitter.com/joangar1964","@joangar1964")</f>
        <v>@joangar1964</v>
      </c>
      <c r="C291" s="8" t="s">
        <v>1272</v>
      </c>
      <c r="D291" s="9" t="s">
        <v>1273</v>
      </c>
      <c r="E291" s="10" t="str">
        <f>HYPERLINK("https://twitter.com/joangar1964/status/1071374488208596992","1071374488208596992")</f>
        <v>1071374488208596992</v>
      </c>
      <c r="F291" s="12"/>
      <c r="G291" s="12"/>
      <c r="H291" s="12"/>
      <c r="I291" s="13">
        <v>0</v>
      </c>
      <c r="J291" s="13">
        <v>0</v>
      </c>
      <c r="K291" s="14" t="str">
        <f>HYPERLINK("http://twitter.com/download/iphone","Twitter for iPhone")</f>
        <v>Twitter for iPhone</v>
      </c>
      <c r="L291" s="13">
        <v>6</v>
      </c>
      <c r="M291" s="13">
        <v>39</v>
      </c>
      <c r="N291" s="13">
        <v>0</v>
      </c>
      <c r="O291" s="15"/>
      <c r="P291" s="6">
        <v>41245.951354166667</v>
      </c>
      <c r="Q291" s="12"/>
      <c r="R291" s="19"/>
      <c r="S291" s="12"/>
      <c r="T291" s="12"/>
      <c r="U291" s="18" t="s">
        <v>67</v>
      </c>
    </row>
    <row r="292" spans="1:21" ht="51">
      <c r="A292" s="6">
        <v>43442.542962962965</v>
      </c>
      <c r="B292" s="7" t="str">
        <f>HYPERLINK("https://twitter.com/Demarichel","@Demarichel")</f>
        <v>@Demarichel</v>
      </c>
      <c r="C292" s="8" t="s">
        <v>1274</v>
      </c>
      <c r="D292" s="9" t="s">
        <v>1275</v>
      </c>
      <c r="E292" s="10" t="str">
        <f>HYPERLINK("https://twitter.com/Demarichel/status/1071374299527815168","1071374299527815168")</f>
        <v>1071374299527815168</v>
      </c>
      <c r="F292" s="12"/>
      <c r="G292" s="12"/>
      <c r="H292" s="12"/>
      <c r="I292" s="13">
        <v>0</v>
      </c>
      <c r="J292" s="13">
        <v>0</v>
      </c>
      <c r="K292" s="14" t="str">
        <f>HYPERLINK("https://mobile.twitter.com","Twitter Lite")</f>
        <v>Twitter Lite</v>
      </c>
      <c r="L292" s="13">
        <v>6</v>
      </c>
      <c r="M292" s="13">
        <v>5</v>
      </c>
      <c r="N292" s="13">
        <v>0</v>
      </c>
      <c r="O292" s="15"/>
      <c r="P292" s="6">
        <v>41241.454247685186</v>
      </c>
      <c r="Q292" s="12"/>
      <c r="R292" s="19"/>
      <c r="S292" s="12"/>
      <c r="T292" s="12"/>
      <c r="U292" s="10" t="str">
        <f>HYPERLINK("https://pbs.twimg.com/profile_images/2930444441/0b8ac1347b75fd1f92ae7d9a8c492a0f.jpeg","View")</f>
        <v>View</v>
      </c>
    </row>
    <row r="293" spans="1:21" ht="30.6">
      <c r="A293" s="6">
        <v>43442.54288194445</v>
      </c>
      <c r="B293" s="7" t="str">
        <f>HYPERLINK("https://twitter.com/PauCebria","@PauCebria")</f>
        <v>@PauCebria</v>
      </c>
      <c r="C293" s="8" t="s">
        <v>1276</v>
      </c>
      <c r="D293" s="9" t="s">
        <v>1277</v>
      </c>
      <c r="E293" s="10" t="str">
        <f>HYPERLINK("https://twitter.com/PauCebria/status/1071374267642724353","1071374267642724353")</f>
        <v>1071374267642724353</v>
      </c>
      <c r="F293" s="12"/>
      <c r="G293" s="12"/>
      <c r="H293" s="12"/>
      <c r="I293" s="13">
        <v>0</v>
      </c>
      <c r="J293" s="13">
        <v>0</v>
      </c>
      <c r="K293" s="14" t="str">
        <f>HYPERLINK("http://twitter.com/download/android","Twitter for Android")</f>
        <v>Twitter for Android</v>
      </c>
      <c r="L293" s="13">
        <v>1156</v>
      </c>
      <c r="M293" s="13">
        <v>2134</v>
      </c>
      <c r="N293" s="13">
        <v>3</v>
      </c>
      <c r="O293" s="15"/>
      <c r="P293" s="6">
        <v>41171.717407407406</v>
      </c>
      <c r="Q293" s="16" t="s">
        <v>228</v>
      </c>
      <c r="R293" s="17" t="s">
        <v>1278</v>
      </c>
      <c r="S293" s="12"/>
      <c r="T293" s="12"/>
      <c r="U293" s="10" t="str">
        <f>HYPERLINK("https://pbs.twimg.com/profile_images/2671118546/115eb9584341c8e4593fc69956b96c78.png","View")</f>
        <v>View</v>
      </c>
    </row>
    <row r="294" spans="1:21" ht="81.599999999999994">
      <c r="A294" s="6">
        <v>43442.542372685188</v>
      </c>
      <c r="B294" s="7" t="str">
        <f>HYPERLINK("https://twitter.com/joseluisroig","@joseluisroig")</f>
        <v>@joseluisroig</v>
      </c>
      <c r="C294" s="8" t="s">
        <v>1279</v>
      </c>
      <c r="D294" s="9" t="s">
        <v>1280</v>
      </c>
      <c r="E294" s="10" t="str">
        <f>HYPERLINK("https://twitter.com/joseluisroig/status/1071374084926246912","1071374084926246912")</f>
        <v>1071374084926246912</v>
      </c>
      <c r="F294" s="16" t="s">
        <v>1281</v>
      </c>
      <c r="G294" s="11" t="s">
        <v>1282</v>
      </c>
      <c r="H294" s="12"/>
      <c r="I294" s="13">
        <v>1</v>
      </c>
      <c r="J294" s="13">
        <v>1</v>
      </c>
      <c r="K294" s="14" t="str">
        <f>HYPERLINK("http://twitter.com/download/iphone","Twitter for iPhone")</f>
        <v>Twitter for iPhone</v>
      </c>
      <c r="L294" s="13">
        <v>1911</v>
      </c>
      <c r="M294" s="13">
        <v>1057</v>
      </c>
      <c r="N294" s="13">
        <v>34</v>
      </c>
      <c r="O294" s="15"/>
      <c r="P294" s="6">
        <v>40638.784062500003</v>
      </c>
      <c r="Q294" s="16" t="s">
        <v>60</v>
      </c>
      <c r="R294" s="17" t="s">
        <v>1283</v>
      </c>
      <c r="S294" s="12"/>
      <c r="T294" s="12"/>
      <c r="U294" s="10" t="str">
        <f>HYPERLINK("https://pbs.twimg.com/profile_images/1070845689486286850/1AsvHeeh.jpg","View")</f>
        <v>View</v>
      </c>
    </row>
    <row r="295" spans="1:21" ht="30.6">
      <c r="A295" s="6">
        <v>43442.541226851856</v>
      </c>
      <c r="B295" s="7" t="str">
        <f>HYPERLINK("https://twitter.com/antirojo4","@antirojo4")</f>
        <v>@antirojo4</v>
      </c>
      <c r="C295" s="8" t="s">
        <v>1284</v>
      </c>
      <c r="D295" s="9" t="s">
        <v>892</v>
      </c>
      <c r="E295" s="10" t="str">
        <f>HYPERLINK("https://twitter.com/antirojo4/status/1071373668650024961","1071373668650024961")</f>
        <v>1071373668650024961</v>
      </c>
      <c r="F295" s="11" t="s">
        <v>893</v>
      </c>
      <c r="G295" s="12"/>
      <c r="H295" s="12"/>
      <c r="I295" s="13">
        <v>0</v>
      </c>
      <c r="J295" s="13">
        <v>0</v>
      </c>
      <c r="K295" s="14" t="str">
        <f>HYPERLINK("http://twitter.com","Twitter Web Client")</f>
        <v>Twitter Web Client</v>
      </c>
      <c r="L295" s="13">
        <v>244</v>
      </c>
      <c r="M295" s="13">
        <v>255</v>
      </c>
      <c r="N295" s="13">
        <v>0</v>
      </c>
      <c r="O295" s="15"/>
      <c r="P295" s="6">
        <v>42806.547418981485</v>
      </c>
      <c r="Q295" s="16" t="s">
        <v>26</v>
      </c>
      <c r="R295" s="17" t="s">
        <v>1285</v>
      </c>
      <c r="S295" s="12"/>
      <c r="T295" s="12"/>
      <c r="U295" s="10" t="str">
        <f>HYPERLINK("https://pbs.twimg.com/profile_images/840907570093162496/GL37nR5L.jpg","View")</f>
        <v>View</v>
      </c>
    </row>
    <row r="296" spans="1:21" ht="51">
      <c r="A296" s="6">
        <v>43442.539409722223</v>
      </c>
      <c r="B296" s="7" t="str">
        <f>HYPERLINK("https://twitter.com/I_Urquizu","@I_Urquizu")</f>
        <v>@I_Urquizu</v>
      </c>
      <c r="C296" s="8" t="s">
        <v>1286</v>
      </c>
      <c r="D296" s="9" t="s">
        <v>1287</v>
      </c>
      <c r="E296" s="10" t="str">
        <f>HYPERLINK("https://twitter.com/I_Urquizu/status/1071373008718229505","1071373008718229505")</f>
        <v>1071373008718229505</v>
      </c>
      <c r="F296" s="11" t="s">
        <v>1288</v>
      </c>
      <c r="G296" s="12"/>
      <c r="H296" s="12"/>
      <c r="I296" s="13">
        <v>0</v>
      </c>
      <c r="J296" s="13">
        <v>0</v>
      </c>
      <c r="K296" s="14" t="str">
        <f t="shared" ref="K296:K297" si="51">HYPERLINK("http://twitter.com/download/android","Twitter for Android")</f>
        <v>Twitter for Android</v>
      </c>
      <c r="L296" s="13">
        <v>152</v>
      </c>
      <c r="M296" s="13">
        <v>304</v>
      </c>
      <c r="N296" s="13">
        <v>3</v>
      </c>
      <c r="O296" s="15"/>
      <c r="P296" s="6">
        <v>40992.779652777775</v>
      </c>
      <c r="Q296" s="12"/>
      <c r="R296" s="17" t="s">
        <v>1289</v>
      </c>
      <c r="S296" s="12"/>
      <c r="T296" s="12"/>
      <c r="U296" s="10" t="str">
        <f>HYPERLINK("https://pbs.twimg.com/profile_images/869584455907901440/27Rl74Qk.jpg","View")</f>
        <v>View</v>
      </c>
    </row>
    <row r="297" spans="1:21" ht="30.6">
      <c r="A297" s="6">
        <v>43442.539259259254</v>
      </c>
      <c r="B297" s="7" t="str">
        <f>HYPERLINK("https://twitter.com/MarisaVargas_R","@MarisaVargas_R")</f>
        <v>@MarisaVargas_R</v>
      </c>
      <c r="C297" s="8" t="s">
        <v>1290</v>
      </c>
      <c r="D297" s="9" t="s">
        <v>1291</v>
      </c>
      <c r="E297" s="10" t="str">
        <f>HYPERLINK("https://twitter.com/MarisaVargas_R/status/1071372953965744128","1071372953965744128")</f>
        <v>1071372953965744128</v>
      </c>
      <c r="F297" s="11" t="s">
        <v>1292</v>
      </c>
      <c r="G297" s="12"/>
      <c r="H297" s="12"/>
      <c r="I297" s="13">
        <v>1</v>
      </c>
      <c r="J297" s="13">
        <v>3</v>
      </c>
      <c r="K297" s="14" t="str">
        <f t="shared" si="51"/>
        <v>Twitter for Android</v>
      </c>
      <c r="L297" s="13">
        <v>9485</v>
      </c>
      <c r="M297" s="13">
        <v>9286</v>
      </c>
      <c r="N297" s="13">
        <v>160</v>
      </c>
      <c r="O297" s="15"/>
      <c r="P297" s="6">
        <v>40624.802627314813</v>
      </c>
      <c r="Q297" s="16" t="s">
        <v>1293</v>
      </c>
      <c r="R297" s="17" t="s">
        <v>1294</v>
      </c>
      <c r="S297" s="12"/>
      <c r="T297" s="12"/>
      <c r="U297" s="10" t="str">
        <f>HYPERLINK("https://pbs.twimg.com/profile_images/789471807682256896/cuEOEHIr.jpg","View")</f>
        <v>View</v>
      </c>
    </row>
    <row r="298" spans="1:21" ht="51">
      <c r="A298" s="6">
        <v>43442.537812499999</v>
      </c>
      <c r="B298" s="7" t="str">
        <f>HYPERLINK("https://twitter.com/Pedrokupa","@Pedrokupa")</f>
        <v>@Pedrokupa</v>
      </c>
      <c r="C298" s="8" t="s">
        <v>1295</v>
      </c>
      <c r="D298" s="9" t="s">
        <v>1296</v>
      </c>
      <c r="E298" s="10" t="str">
        <f>HYPERLINK("https://twitter.com/Pedrokupa/status/1071372429958791168","1071372429958791168")</f>
        <v>1071372429958791168</v>
      </c>
      <c r="F298" s="12"/>
      <c r="G298" s="12"/>
      <c r="H298" s="12"/>
      <c r="I298" s="13">
        <v>3</v>
      </c>
      <c r="J298" s="13">
        <v>4</v>
      </c>
      <c r="K298" s="14" t="str">
        <f>HYPERLINK("http://twitter.com","Twitter Web Client")</f>
        <v>Twitter Web Client</v>
      </c>
      <c r="L298" s="13">
        <v>1134</v>
      </c>
      <c r="M298" s="13">
        <v>204</v>
      </c>
      <c r="N298" s="13">
        <v>11</v>
      </c>
      <c r="O298" s="15"/>
      <c r="P298" s="6">
        <v>41148.026273148149</v>
      </c>
      <c r="Q298" s="16" t="s">
        <v>1297</v>
      </c>
      <c r="R298" s="17" t="s">
        <v>1298</v>
      </c>
      <c r="S298" s="12"/>
      <c r="T298" s="12"/>
      <c r="U298" s="10" t="str">
        <f>HYPERLINK("https://pbs.twimg.com/profile_images/1024057409839480832/LmBrp5MR.jpg","View")</f>
        <v>View</v>
      </c>
    </row>
    <row r="299" spans="1:21" ht="30.6">
      <c r="A299" s="6">
        <v>43442.537569444445</v>
      </c>
      <c r="B299" s="7" t="str">
        <f>HYPERLINK("https://twitter.com/MellamanShelby","@MellamanShelby")</f>
        <v>@MellamanShelby</v>
      </c>
      <c r="C299" s="8" t="s">
        <v>1299</v>
      </c>
      <c r="D299" s="9" t="s">
        <v>1300</v>
      </c>
      <c r="E299" s="10" t="str">
        <f>HYPERLINK("https://twitter.com/MellamanShelby/status/1071372343203774464","1071372343203774464")</f>
        <v>1071372343203774464</v>
      </c>
      <c r="F299" s="16" t="s">
        <v>1301</v>
      </c>
      <c r="G299" s="12"/>
      <c r="H299" s="12"/>
      <c r="I299" s="13">
        <v>1</v>
      </c>
      <c r="J299" s="13">
        <v>3</v>
      </c>
      <c r="K299" s="14" t="str">
        <f t="shared" ref="K299:K302" si="52">HYPERLINK("http://twitter.com/download/android","Twitter for Android")</f>
        <v>Twitter for Android</v>
      </c>
      <c r="L299" s="13">
        <v>2733</v>
      </c>
      <c r="M299" s="13">
        <v>1093</v>
      </c>
      <c r="N299" s="13">
        <v>13</v>
      </c>
      <c r="O299" s="15"/>
      <c r="P299" s="6">
        <v>41807.431747685187</v>
      </c>
      <c r="Q299" s="16" t="s">
        <v>87</v>
      </c>
      <c r="R299" s="17" t="s">
        <v>1302</v>
      </c>
      <c r="S299" s="12"/>
      <c r="T299" s="12"/>
      <c r="U299" s="10" t="str">
        <f>HYPERLINK("https://pbs.twimg.com/profile_images/1056597835607621634/SmZO8xAP.jpg","View")</f>
        <v>View</v>
      </c>
    </row>
    <row r="300" spans="1:21" ht="40.799999999999997">
      <c r="A300" s="6">
        <v>43442.537199074075</v>
      </c>
      <c r="B300" s="7" t="str">
        <f>HYPERLINK("https://twitter.com/ivanmn88","@ivanmn88")</f>
        <v>@ivanmn88</v>
      </c>
      <c r="C300" s="8" t="s">
        <v>1303</v>
      </c>
      <c r="D300" s="9" t="s">
        <v>1304</v>
      </c>
      <c r="E300" s="10" t="str">
        <f>HYPERLINK("https://twitter.com/ivanmn88/status/1071372207585148929","1071372207585148929")</f>
        <v>1071372207585148929</v>
      </c>
      <c r="F300" s="12"/>
      <c r="G300" s="11" t="s">
        <v>1305</v>
      </c>
      <c r="H300" s="12"/>
      <c r="I300" s="13">
        <v>0</v>
      </c>
      <c r="J300" s="13">
        <v>0</v>
      </c>
      <c r="K300" s="14" t="str">
        <f t="shared" si="52"/>
        <v>Twitter for Android</v>
      </c>
      <c r="L300" s="13">
        <v>180</v>
      </c>
      <c r="M300" s="13">
        <v>675</v>
      </c>
      <c r="N300" s="13">
        <v>0</v>
      </c>
      <c r="O300" s="15"/>
      <c r="P300" s="6">
        <v>40776.590185185181</v>
      </c>
      <c r="Q300" s="16" t="s">
        <v>1073</v>
      </c>
      <c r="R300" s="17" t="s">
        <v>1306</v>
      </c>
      <c r="S300" s="12"/>
      <c r="T300" s="12"/>
      <c r="U300" s="10" t="str">
        <f>HYPERLINK("https://pbs.twimg.com/profile_images/1031282720121528322/MvvvLrEl.jpg","View")</f>
        <v>View</v>
      </c>
    </row>
    <row r="301" spans="1:21" ht="40.799999999999997">
      <c r="A301" s="6">
        <v>43442.533680555556</v>
      </c>
      <c r="B301" s="7" t="str">
        <f t="shared" ref="B301:B302" si="53">HYPERLINK("https://twitter.com/EduBongio","@EduBongio")</f>
        <v>@EduBongio</v>
      </c>
      <c r="C301" s="8" t="s">
        <v>1307</v>
      </c>
      <c r="D301" s="9" t="s">
        <v>1308</v>
      </c>
      <c r="E301" s="10" t="str">
        <f>HYPERLINK("https://twitter.com/EduBongio/status/1071370935461142528","1071370935461142528")</f>
        <v>1071370935461142528</v>
      </c>
      <c r="F301" s="11" t="s">
        <v>1309</v>
      </c>
      <c r="G301" s="12"/>
      <c r="H301" s="12"/>
      <c r="I301" s="13">
        <v>0</v>
      </c>
      <c r="J301" s="13">
        <v>0</v>
      </c>
      <c r="K301" s="14" t="str">
        <f t="shared" si="52"/>
        <v>Twitter for Android</v>
      </c>
      <c r="L301" s="13">
        <v>4538</v>
      </c>
      <c r="M301" s="13">
        <v>3904</v>
      </c>
      <c r="N301" s="13">
        <v>54</v>
      </c>
      <c r="O301" s="15"/>
      <c r="P301" s="6">
        <v>40345.132534722223</v>
      </c>
      <c r="Q301" s="16" t="s">
        <v>1310</v>
      </c>
      <c r="R301" s="17" t="s">
        <v>1311</v>
      </c>
      <c r="S301" s="12"/>
      <c r="T301" s="12"/>
      <c r="U301" s="10" t="str">
        <f t="shared" ref="U301:U302" si="54">HYPERLINK("https://pbs.twimg.com/profile_images/378800000482739582/fc7648cd7d0276c2347a1fb6af8ac67e.png","View")</f>
        <v>View</v>
      </c>
    </row>
    <row r="302" spans="1:21" ht="40.799999999999997">
      <c r="A302" s="6">
        <v>43442.533576388887</v>
      </c>
      <c r="B302" s="7" t="str">
        <f t="shared" si="53"/>
        <v>@EduBongio</v>
      </c>
      <c r="C302" s="8" t="s">
        <v>1307</v>
      </c>
      <c r="D302" s="9" t="s">
        <v>1308</v>
      </c>
      <c r="E302" s="10" t="str">
        <f>HYPERLINK("https://twitter.com/EduBongio/status/1071370897863467010","1071370897863467010")</f>
        <v>1071370897863467010</v>
      </c>
      <c r="F302" s="11" t="s">
        <v>1309</v>
      </c>
      <c r="G302" s="12"/>
      <c r="H302" s="12"/>
      <c r="I302" s="13">
        <v>0</v>
      </c>
      <c r="J302" s="13">
        <v>0</v>
      </c>
      <c r="K302" s="14" t="str">
        <f t="shared" si="52"/>
        <v>Twitter for Android</v>
      </c>
      <c r="L302" s="13">
        <v>4538</v>
      </c>
      <c r="M302" s="13">
        <v>3904</v>
      </c>
      <c r="N302" s="13">
        <v>54</v>
      </c>
      <c r="O302" s="15"/>
      <c r="P302" s="6">
        <v>40345.132534722223</v>
      </c>
      <c r="Q302" s="16" t="s">
        <v>1310</v>
      </c>
      <c r="R302" s="17" t="s">
        <v>1311</v>
      </c>
      <c r="S302" s="12"/>
      <c r="T302" s="12"/>
      <c r="U302" s="10" t="str">
        <f t="shared" si="54"/>
        <v>View</v>
      </c>
    </row>
    <row r="303" spans="1:21" ht="30.6">
      <c r="A303" s="6">
        <v>43442.533402777779</v>
      </c>
      <c r="B303" s="7" t="str">
        <f>HYPERLINK("https://twitter.com/ppapanol","@ppapanol")</f>
        <v>@ppapanol</v>
      </c>
      <c r="C303" s="8" t="s">
        <v>1312</v>
      </c>
      <c r="D303" s="9" t="s">
        <v>1313</v>
      </c>
      <c r="E303" s="10" t="str">
        <f>HYPERLINK("https://twitter.com/ppapanol/status/1071370831635378176","1071370831635378176")</f>
        <v>1071370831635378176</v>
      </c>
      <c r="F303" s="11" t="s">
        <v>1314</v>
      </c>
      <c r="G303" s="12"/>
      <c r="H303" s="12"/>
      <c r="I303" s="13">
        <v>3</v>
      </c>
      <c r="J303" s="13">
        <v>2</v>
      </c>
      <c r="K303" s="14" t="str">
        <f>HYPERLINK("http://twitter.com","Twitter Web Client")</f>
        <v>Twitter Web Client</v>
      </c>
      <c r="L303" s="13">
        <v>2046</v>
      </c>
      <c r="M303" s="13">
        <v>4751</v>
      </c>
      <c r="N303" s="13">
        <v>14</v>
      </c>
      <c r="O303" s="15"/>
      <c r="P303" s="6">
        <v>42334.543576388889</v>
      </c>
      <c r="Q303" s="12"/>
      <c r="R303" s="19"/>
      <c r="S303" s="11" t="s">
        <v>1315</v>
      </c>
      <c r="T303" s="12"/>
      <c r="U303" s="10" t="str">
        <f>HYPERLINK("https://pbs.twimg.com/profile_images/669857784943497216/RABWZZ4G.jpg","View")</f>
        <v>View</v>
      </c>
    </row>
    <row r="304" spans="1:21" ht="20.399999999999999">
      <c r="A304" s="6">
        <v>43442.530231481476</v>
      </c>
      <c r="B304" s="7" t="str">
        <f>HYPERLINK("https://twitter.com/ACASODELOSCOBOS","@ACASODELOSCOBOS")</f>
        <v>@ACASODELOSCOBOS</v>
      </c>
      <c r="C304" s="8" t="s">
        <v>1316</v>
      </c>
      <c r="D304" s="9" t="s">
        <v>1317</v>
      </c>
      <c r="E304" s="10" t="str">
        <f>HYPERLINK("https://twitter.com/ACASODELOSCOBOS/status/1071369683343941632","1071369683343941632")</f>
        <v>1071369683343941632</v>
      </c>
      <c r="F304" s="11" t="s">
        <v>576</v>
      </c>
      <c r="G304" s="12"/>
      <c r="H304" s="12"/>
      <c r="I304" s="13">
        <v>0</v>
      </c>
      <c r="J304" s="13">
        <v>0</v>
      </c>
      <c r="K304" s="14" t="str">
        <f>HYPERLINK("http://www.facebook.com/twitter","Facebook")</f>
        <v>Facebook</v>
      </c>
      <c r="L304" s="13">
        <v>87</v>
      </c>
      <c r="M304" s="13">
        <v>174</v>
      </c>
      <c r="N304" s="13">
        <v>2</v>
      </c>
      <c r="O304" s="15"/>
      <c r="P304" s="6">
        <v>40589.591666666667</v>
      </c>
      <c r="Q304" s="16" t="s">
        <v>1318</v>
      </c>
      <c r="R304" s="19"/>
      <c r="S304" s="11" t="s">
        <v>1319</v>
      </c>
      <c r="T304" s="12"/>
      <c r="U304" s="10" t="str">
        <f>HYPERLINK("https://pbs.twimg.com/profile_images/1245096384/edicion.jpg","View")</f>
        <v>View</v>
      </c>
    </row>
    <row r="305" spans="1:21" ht="40.799999999999997">
      <c r="A305" s="6">
        <v>43442.529224537036</v>
      </c>
      <c r="B305" s="7" t="str">
        <f>HYPERLINK("https://twitter.com/jatirado","@jatirado")</f>
        <v>@jatirado</v>
      </c>
      <c r="C305" s="8" t="s">
        <v>196</v>
      </c>
      <c r="D305" s="9" t="s">
        <v>1320</v>
      </c>
      <c r="E305" s="10" t="str">
        <f>HYPERLINK("https://twitter.com/jatirado/status/1071369317814480897","1071369317814480897")</f>
        <v>1071369317814480897</v>
      </c>
      <c r="F305" s="11" t="s">
        <v>1321</v>
      </c>
      <c r="G305" s="11" t="s">
        <v>1322</v>
      </c>
      <c r="H305" s="12"/>
      <c r="I305" s="13">
        <v>3</v>
      </c>
      <c r="J305" s="13">
        <v>0</v>
      </c>
      <c r="K305" s="14" t="str">
        <f>HYPERLINK("https://dlvrit.com/","dlvr.it")</f>
        <v>dlvr.it</v>
      </c>
      <c r="L305" s="13">
        <v>81545</v>
      </c>
      <c r="M305" s="13">
        <v>49760</v>
      </c>
      <c r="N305" s="13">
        <v>1030</v>
      </c>
      <c r="O305" s="15"/>
      <c r="P305" s="6">
        <v>40353.552581018521</v>
      </c>
      <c r="Q305" s="16" t="s">
        <v>200</v>
      </c>
      <c r="R305" s="17" t="s">
        <v>201</v>
      </c>
      <c r="S305" s="11" t="s">
        <v>202</v>
      </c>
      <c r="T305" s="12"/>
      <c r="U305" s="10" t="str">
        <f>HYPERLINK("https://pbs.twimg.com/profile_images/485680559742791680/dg68o8vH.jpeg","View")</f>
        <v>View</v>
      </c>
    </row>
    <row r="306" spans="1:21" ht="40.799999999999997">
      <c r="A306" s="6">
        <v>43442.527349537035</v>
      </c>
      <c r="B306" s="7" t="str">
        <f>HYPERLINK("https://twitter.com/emilio_valero","@emilio_valero")</f>
        <v>@emilio_valero</v>
      </c>
      <c r="C306" s="8" t="s">
        <v>1323</v>
      </c>
      <c r="D306" s="9" t="s">
        <v>1324</v>
      </c>
      <c r="E306" s="10" t="str">
        <f>HYPERLINK("https://twitter.com/emilio_valero/status/1071368639528484864","1071368639528484864")</f>
        <v>1071368639528484864</v>
      </c>
      <c r="F306" s="11" t="s">
        <v>467</v>
      </c>
      <c r="G306" s="12"/>
      <c r="H306" s="12"/>
      <c r="I306" s="13">
        <v>0</v>
      </c>
      <c r="J306" s="13">
        <v>0</v>
      </c>
      <c r="K306" s="14" t="str">
        <f>HYPERLINK("http://twitter.com/download/android","Twitter for Android")</f>
        <v>Twitter for Android</v>
      </c>
      <c r="L306" s="13">
        <v>2468</v>
      </c>
      <c r="M306" s="13">
        <v>2965</v>
      </c>
      <c r="N306" s="13">
        <v>18</v>
      </c>
      <c r="O306" s="15"/>
      <c r="P306" s="6">
        <v>40795.850231481483</v>
      </c>
      <c r="Q306" s="16" t="s">
        <v>1325</v>
      </c>
      <c r="R306" s="17" t="s">
        <v>1326</v>
      </c>
      <c r="S306" s="12"/>
      <c r="T306" s="12"/>
      <c r="U306" s="10" t="str">
        <f>HYPERLINK("https://pbs.twimg.com/profile_images/814833551002791936/Yh_X_Im3.jpg","View")</f>
        <v>View</v>
      </c>
    </row>
    <row r="307" spans="1:21" ht="20.399999999999999">
      <c r="A307" s="6">
        <v>43442.526504629626</v>
      </c>
      <c r="B307" s="7" t="str">
        <f>HYPERLINK("https://twitter.com/Vzaino1","@Vzaino1")</f>
        <v>@Vzaino1</v>
      </c>
      <c r="C307" s="8" t="s">
        <v>1265</v>
      </c>
      <c r="D307" s="9" t="s">
        <v>1327</v>
      </c>
      <c r="E307" s="10" t="str">
        <f>HYPERLINK("https://twitter.com/Vzaino1/status/1071368333151342593","1071368333151342593")</f>
        <v>1071368333151342593</v>
      </c>
      <c r="F307" s="11" t="s">
        <v>1328</v>
      </c>
      <c r="G307" s="12"/>
      <c r="H307" s="12"/>
      <c r="I307" s="13">
        <v>0</v>
      </c>
      <c r="J307" s="13">
        <v>0</v>
      </c>
      <c r="K307" s="14" t="str">
        <f>HYPERLINK("http://twitter.com","Twitter Web Client")</f>
        <v>Twitter Web Client</v>
      </c>
      <c r="L307" s="13">
        <v>287</v>
      </c>
      <c r="M307" s="13">
        <v>654</v>
      </c>
      <c r="N307" s="13">
        <v>0</v>
      </c>
      <c r="O307" s="15"/>
      <c r="P307" s="6">
        <v>43402.79069444444</v>
      </c>
      <c r="Q307" s="12"/>
      <c r="R307" s="17" t="s">
        <v>1268</v>
      </c>
      <c r="S307" s="12"/>
      <c r="T307" s="12"/>
      <c r="U307" s="18" t="s">
        <v>67</v>
      </c>
    </row>
    <row r="308" spans="1:21" ht="30.6">
      <c r="A308" s="6">
        <v>43442.525057870371</v>
      </c>
      <c r="B308" s="7" t="str">
        <f>HYPERLINK("https://twitter.com/periodicovzlano","@periodicovzlano")</f>
        <v>@periodicovzlano</v>
      </c>
      <c r="C308" s="8" t="s">
        <v>869</v>
      </c>
      <c r="D308" s="9" t="s">
        <v>714</v>
      </c>
      <c r="E308" s="10" t="str">
        <f>HYPERLINK("https://twitter.com/periodicovzlano/status/1071367807902846977","1071367807902846977")</f>
        <v>1071367807902846977</v>
      </c>
      <c r="F308" s="11" t="s">
        <v>737</v>
      </c>
      <c r="G308" s="11" t="s">
        <v>1329</v>
      </c>
      <c r="H308" s="12"/>
      <c r="I308" s="13">
        <v>0</v>
      </c>
      <c r="J308" s="13">
        <v>0</v>
      </c>
      <c r="K308" s="14" t="str">
        <f>HYPERLINK("http://epmundo.com","Tuiteo TOP EP (1)")</f>
        <v>Tuiteo TOP EP (1)</v>
      </c>
      <c r="L308" s="13">
        <v>479694</v>
      </c>
      <c r="M308" s="13">
        <v>358804</v>
      </c>
      <c r="N308" s="13">
        <v>1295</v>
      </c>
      <c r="O308" s="15"/>
      <c r="P308" s="6">
        <v>40663.3512962963</v>
      </c>
      <c r="Q308" s="16" t="s">
        <v>871</v>
      </c>
      <c r="R308" s="17" t="s">
        <v>872</v>
      </c>
      <c r="S308" s="11" t="s">
        <v>873</v>
      </c>
      <c r="T308" s="12"/>
      <c r="U308" s="10" t="str">
        <f>HYPERLINK("https://pbs.twimg.com/profile_images/958328579250638849/MCz7Q8U6.jpg","View")</f>
        <v>View</v>
      </c>
    </row>
    <row r="309" spans="1:21" ht="51">
      <c r="A309" s="6">
        <v>43442.524189814816</v>
      </c>
      <c r="B309" s="7" t="str">
        <f>HYPERLINK("https://twitter.com/Palas_Atenea_10","@Palas_Atenea_10")</f>
        <v>@Palas_Atenea_10</v>
      </c>
      <c r="C309" s="8" t="s">
        <v>1330</v>
      </c>
      <c r="D309" s="9" t="s">
        <v>1331</v>
      </c>
      <c r="E309" s="10" t="str">
        <f>HYPERLINK("https://twitter.com/Palas_Atenea_10/status/1071367494143754240","1071367494143754240")</f>
        <v>1071367494143754240</v>
      </c>
      <c r="F309" s="12"/>
      <c r="G309" s="12"/>
      <c r="H309" s="12"/>
      <c r="I309" s="13">
        <v>2</v>
      </c>
      <c r="J309" s="13">
        <v>5</v>
      </c>
      <c r="K309" s="14" t="str">
        <f t="shared" ref="K309:K310" si="55">HYPERLINK("http://twitter.com/download/android","Twitter for Android")</f>
        <v>Twitter for Android</v>
      </c>
      <c r="L309" s="13">
        <v>4277</v>
      </c>
      <c r="M309" s="13">
        <v>3881</v>
      </c>
      <c r="N309" s="13">
        <v>57</v>
      </c>
      <c r="O309" s="15"/>
      <c r="P309" s="6">
        <v>40412.622152777782</v>
      </c>
      <c r="Q309" s="16" t="s">
        <v>60</v>
      </c>
      <c r="R309" s="17" t="s">
        <v>1332</v>
      </c>
      <c r="S309" s="12"/>
      <c r="T309" s="12"/>
      <c r="U309" s="10" t="str">
        <f>HYPERLINK("https://pbs.twimg.com/profile_images/1070629109800275969/7l3WCzTQ.jpg","View")</f>
        <v>View</v>
      </c>
    </row>
    <row r="310" spans="1:21" ht="51">
      <c r="A310" s="6">
        <v>43442.522407407407</v>
      </c>
      <c r="B310" s="7" t="str">
        <f>HYPERLINK("https://twitter.com/SempereElcheCs","@SempereElcheCs")</f>
        <v>@SempereElcheCs</v>
      </c>
      <c r="C310" s="8" t="s">
        <v>1333</v>
      </c>
      <c r="D310" s="9" t="s">
        <v>1334</v>
      </c>
      <c r="E310" s="10" t="str">
        <f>HYPERLINK("https://twitter.com/SempereElcheCs/status/1071366849777029120","1071366849777029120")</f>
        <v>1071366849777029120</v>
      </c>
      <c r="F310" s="12"/>
      <c r="G310" s="11" t="s">
        <v>1335</v>
      </c>
      <c r="H310" s="12"/>
      <c r="I310" s="13">
        <v>8</v>
      </c>
      <c r="J310" s="13">
        <v>8</v>
      </c>
      <c r="K310" s="14" t="str">
        <f t="shared" si="55"/>
        <v>Twitter for Android</v>
      </c>
      <c r="L310" s="13">
        <v>1493</v>
      </c>
      <c r="M310" s="13">
        <v>998</v>
      </c>
      <c r="N310" s="13">
        <v>19</v>
      </c>
      <c r="O310" s="15"/>
      <c r="P310" s="6">
        <v>41568.044988425929</v>
      </c>
      <c r="Q310" s="16" t="s">
        <v>1336</v>
      </c>
      <c r="R310" s="17" t="s">
        <v>1337</v>
      </c>
      <c r="S310" s="11" t="s">
        <v>1338</v>
      </c>
      <c r="T310" s="12"/>
      <c r="U310" s="10" t="str">
        <f>HYPERLINK("https://pbs.twimg.com/profile_images/931062868614746112/ugSq_-zK.jpg","View")</f>
        <v>View</v>
      </c>
    </row>
    <row r="311" spans="1:21" ht="20.399999999999999">
      <c r="A311" s="6">
        <v>43442.521493055552</v>
      </c>
      <c r="B311" s="7" t="str">
        <f>HYPERLINK("https://twitter.com/copiajuridica","@copiajuridica")</f>
        <v>@copiajuridica</v>
      </c>
      <c r="C311" s="8" t="s">
        <v>1339</v>
      </c>
      <c r="D311" s="9" t="s">
        <v>1340</v>
      </c>
      <c r="E311" s="10" t="str">
        <f>HYPERLINK("https://twitter.com/copiajuridica/status/1071366517848244224","1071366517848244224")</f>
        <v>1071366517848244224</v>
      </c>
      <c r="F311" s="11" t="s">
        <v>1341</v>
      </c>
      <c r="G311" s="12"/>
      <c r="H311" s="12"/>
      <c r="I311" s="13">
        <v>0</v>
      </c>
      <c r="J311" s="13">
        <v>0</v>
      </c>
      <c r="K311" s="14" t="str">
        <f>HYPERLINK("http://www.facebook.com/twitter","Facebook")</f>
        <v>Facebook</v>
      </c>
      <c r="L311" s="13">
        <v>74</v>
      </c>
      <c r="M311" s="13">
        <v>272</v>
      </c>
      <c r="N311" s="13">
        <v>1</v>
      </c>
      <c r="O311" s="15"/>
      <c r="P311" s="6">
        <v>42088.346412037034</v>
      </c>
      <c r="Q311" s="12"/>
      <c r="R311" s="19"/>
      <c r="S311" s="11" t="s">
        <v>1342</v>
      </c>
      <c r="T311" s="12"/>
      <c r="U311" s="10" t="str">
        <f>HYPERLINK("https://pbs.twimg.com/profile_images/712509718355423234/-G-stV8w.jpg","View")</f>
        <v>View</v>
      </c>
    </row>
    <row r="312" spans="1:21" ht="71.400000000000006">
      <c r="A312" s="6">
        <v>43442.521400462967</v>
      </c>
      <c r="B312" s="7" t="str">
        <f>HYPERLINK("https://twitter.com/EstacaBendita","@EstacaBendita")</f>
        <v>@EstacaBendita</v>
      </c>
      <c r="C312" s="8" t="s">
        <v>1343</v>
      </c>
      <c r="D312" s="9" t="s">
        <v>1344</v>
      </c>
      <c r="E312" s="10" t="str">
        <f>HYPERLINK("https://twitter.com/EstacaBendita/status/1071366485174575104","1071366485174575104")</f>
        <v>1071366485174575104</v>
      </c>
      <c r="F312" s="16" t="s">
        <v>1345</v>
      </c>
      <c r="G312" s="12"/>
      <c r="H312" s="12"/>
      <c r="I312" s="13">
        <v>4</v>
      </c>
      <c r="J312" s="13">
        <v>5</v>
      </c>
      <c r="K312" s="14" t="str">
        <f t="shared" ref="K312:K313" si="56">HYPERLINK("http://twitter.com/download/android","Twitter for Android")</f>
        <v>Twitter for Android</v>
      </c>
      <c r="L312" s="13">
        <v>57</v>
      </c>
      <c r="M312" s="13">
        <v>33</v>
      </c>
      <c r="N312" s="13">
        <v>5</v>
      </c>
      <c r="O312" s="15"/>
      <c r="P312" s="6">
        <v>43350.588402777779</v>
      </c>
      <c r="Q312" s="16" t="s">
        <v>1346</v>
      </c>
      <c r="R312" s="17" t="s">
        <v>1347</v>
      </c>
      <c r="S312" s="11" t="s">
        <v>1348</v>
      </c>
      <c r="T312" s="12"/>
      <c r="U312" s="10" t="str">
        <f>HYPERLINK("https://pbs.twimg.com/profile_images/1038036250412953601/H-mPPye5.jpg","View")</f>
        <v>View</v>
      </c>
    </row>
    <row r="313" spans="1:21" ht="30.6">
      <c r="A313" s="6">
        <v>43442.520254629635</v>
      </c>
      <c r="B313" s="7" t="str">
        <f>HYPERLINK("https://twitter.com/alvarobarrena","@alvarobarrena")</f>
        <v>@alvarobarrena</v>
      </c>
      <c r="C313" s="8" t="s">
        <v>1349</v>
      </c>
      <c r="D313" s="9" t="s">
        <v>1350</v>
      </c>
      <c r="E313" s="10" t="str">
        <f>HYPERLINK("https://twitter.com/alvarobarrena/status/1071366070638923778","1071366070638923778")</f>
        <v>1071366070638923778</v>
      </c>
      <c r="F313" s="11" t="s">
        <v>1351</v>
      </c>
      <c r="G313" s="12"/>
      <c r="H313" s="12"/>
      <c r="I313" s="13">
        <v>0</v>
      </c>
      <c r="J313" s="13">
        <v>0</v>
      </c>
      <c r="K313" s="14" t="str">
        <f t="shared" si="56"/>
        <v>Twitter for Android</v>
      </c>
      <c r="L313" s="13">
        <v>885</v>
      </c>
      <c r="M313" s="13">
        <v>1166</v>
      </c>
      <c r="N313" s="13">
        <v>22</v>
      </c>
      <c r="O313" s="15"/>
      <c r="P313" s="6">
        <v>40683.40688657407</v>
      </c>
      <c r="Q313" s="16" t="s">
        <v>60</v>
      </c>
      <c r="R313" s="17" t="s">
        <v>1352</v>
      </c>
      <c r="S313" s="12"/>
      <c r="T313" s="12"/>
      <c r="U313" s="10" t="str">
        <f>HYPERLINK("https://pbs.twimg.com/profile_images/883765593064820736/46_kvwJh.jpg","View")</f>
        <v>View</v>
      </c>
    </row>
    <row r="314" spans="1:21" ht="20.399999999999999">
      <c r="A314" s="6">
        <v>43442.519236111111</v>
      </c>
      <c r="B314" s="7" t="str">
        <f>HYPERLINK("https://twitter.com/TSFRadio","@TSFRadio")</f>
        <v>@TSFRadio</v>
      </c>
      <c r="C314" s="8" t="s">
        <v>1353</v>
      </c>
      <c r="D314" s="9" t="s">
        <v>1354</v>
      </c>
      <c r="E314" s="10" t="str">
        <f>HYPERLINK("https://twitter.com/TSFRadio/status/1071365700726353920","1071365700726353920")</f>
        <v>1071365700726353920</v>
      </c>
      <c r="F314" s="16" t="s">
        <v>1355</v>
      </c>
      <c r="G314" s="11" t="s">
        <v>1356</v>
      </c>
      <c r="H314" s="12" t="str">
        <f>HYPERLINK("https://ctrlq.org/maps/address/#38.74751841,-9.09904258","Map")</f>
        <v>Map</v>
      </c>
      <c r="I314" s="13">
        <v>0</v>
      </c>
      <c r="J314" s="13">
        <v>0</v>
      </c>
      <c r="K314" s="14" t="str">
        <f>HYPERLINK("https://dlvrit.com/","dlvr.it")</f>
        <v>dlvr.it</v>
      </c>
      <c r="L314" s="13">
        <v>254790</v>
      </c>
      <c r="M314" s="13">
        <v>43</v>
      </c>
      <c r="N314" s="13">
        <v>1131</v>
      </c>
      <c r="O314" s="18" t="s">
        <v>41</v>
      </c>
      <c r="P314" s="6">
        <v>39640.70857638889</v>
      </c>
      <c r="Q314" s="16" t="s">
        <v>1357</v>
      </c>
      <c r="R314" s="17" t="s">
        <v>1358</v>
      </c>
      <c r="S314" s="11" t="s">
        <v>1359</v>
      </c>
      <c r="T314" s="12"/>
      <c r="U314" s="10" t="str">
        <f>HYPERLINK("https://pbs.twimg.com/profile_images/906103814180175872/3sIfzB_y.jpg","View")</f>
        <v>View</v>
      </c>
    </row>
    <row r="315" spans="1:21" ht="20.399999999999999">
      <c r="A315" s="6">
        <v>43442.518495370372</v>
      </c>
      <c r="B315" s="7" t="str">
        <f>HYPERLINK("https://twitter.com/ONDOIRE","@ONDOIRE")</f>
        <v>@ONDOIRE</v>
      </c>
      <c r="C315" s="8" t="s">
        <v>1360</v>
      </c>
      <c r="D315" s="9" t="s">
        <v>1361</v>
      </c>
      <c r="E315" s="10" t="str">
        <f>HYPERLINK("https://twitter.com/ONDOIRE/status/1071365430168772609","1071365430168772609")</f>
        <v>1071365430168772609</v>
      </c>
      <c r="F315" s="12"/>
      <c r="G315" s="12"/>
      <c r="H315" s="12"/>
      <c r="I315" s="13">
        <v>0</v>
      </c>
      <c r="J315" s="13">
        <v>0</v>
      </c>
      <c r="K315" s="14" t="str">
        <f>HYPERLINK("https://mobile.twitter.com","Twitter Lite")</f>
        <v>Twitter Lite</v>
      </c>
      <c r="L315" s="13">
        <v>26</v>
      </c>
      <c r="M315" s="13">
        <v>22</v>
      </c>
      <c r="N315" s="13">
        <v>0</v>
      </c>
      <c r="O315" s="15"/>
      <c r="P315" s="6">
        <v>40617.72488425926</v>
      </c>
      <c r="Q315" s="16" t="s">
        <v>1362</v>
      </c>
      <c r="R315" s="17" t="s">
        <v>1363</v>
      </c>
      <c r="S315" s="12"/>
      <c r="T315" s="12"/>
      <c r="U315" s="18" t="s">
        <v>67</v>
      </c>
    </row>
    <row r="316" spans="1:21" ht="81.599999999999994">
      <c r="A316" s="6">
        <v>43442.517905092594</v>
      </c>
      <c r="B316" s="7" t="str">
        <f>HYPERLINK("https://twitter.com/lardllaa","@lardllaa")</f>
        <v>@lardllaa</v>
      </c>
      <c r="C316" s="8" t="s">
        <v>1364</v>
      </c>
      <c r="D316" s="9" t="s">
        <v>1365</v>
      </c>
      <c r="E316" s="10" t="str">
        <f>HYPERLINK("https://twitter.com/lardllaa/status/1071365217442037760","1071365217442037760")</f>
        <v>1071365217442037760</v>
      </c>
      <c r="F316" s="11" t="s">
        <v>1366</v>
      </c>
      <c r="G316" s="12"/>
      <c r="H316" s="12"/>
      <c r="I316" s="13">
        <v>0</v>
      </c>
      <c r="J316" s="13">
        <v>0</v>
      </c>
      <c r="K316" s="14" t="str">
        <f>HYPERLINK("http://twitter.com/download/android","Twitter for Android")</f>
        <v>Twitter for Android</v>
      </c>
      <c r="L316" s="13">
        <v>1871</v>
      </c>
      <c r="M316" s="13">
        <v>3076</v>
      </c>
      <c r="N316" s="13">
        <v>18</v>
      </c>
      <c r="O316" s="15"/>
      <c r="P316" s="6">
        <v>40004.148831018516</v>
      </c>
      <c r="Q316" s="16" t="s">
        <v>200</v>
      </c>
      <c r="R316" s="17" t="s">
        <v>1367</v>
      </c>
      <c r="S316" s="12"/>
      <c r="T316" s="12"/>
      <c r="U316" s="10" t="str">
        <f>HYPERLINK("https://pbs.twimg.com/profile_images/727780252215316480/Ynj7E4tI.jpg","View")</f>
        <v>View</v>
      </c>
    </row>
    <row r="317" spans="1:21" ht="40.799999999999997">
      <c r="A317" s="6">
        <v>43442.516863425924</v>
      </c>
      <c r="B317" s="7" t="str">
        <f>HYPERLINK("https://twitter.com/puxapali","@puxapali")</f>
        <v>@puxapali</v>
      </c>
      <c r="C317" s="8" t="s">
        <v>1368</v>
      </c>
      <c r="D317" s="9" t="s">
        <v>1369</v>
      </c>
      <c r="E317" s="10" t="str">
        <f>HYPERLINK("https://twitter.com/puxapali/status/1071364839518494727","1071364839518494727")</f>
        <v>1071364839518494727</v>
      </c>
      <c r="F317" s="11" t="s">
        <v>1370</v>
      </c>
      <c r="G317" s="12"/>
      <c r="H317" s="12"/>
      <c r="I317" s="13">
        <v>0</v>
      </c>
      <c r="J317" s="13">
        <v>0</v>
      </c>
      <c r="K317" s="14" t="str">
        <f>HYPERLINK("http://twitter.com","Twitter Web Client")</f>
        <v>Twitter Web Client</v>
      </c>
      <c r="L317" s="13">
        <v>6065</v>
      </c>
      <c r="M317" s="13">
        <v>5699</v>
      </c>
      <c r="N317" s="13">
        <v>249</v>
      </c>
      <c r="O317" s="15"/>
      <c r="P317" s="6">
        <v>40156.983854166669</v>
      </c>
      <c r="Q317" s="16" t="s">
        <v>1371</v>
      </c>
      <c r="R317" s="17" t="s">
        <v>1372</v>
      </c>
      <c r="S317" s="11" t="s">
        <v>1373</v>
      </c>
      <c r="T317" s="12"/>
      <c r="U317" s="10" t="str">
        <f>HYPERLINK("https://pbs.twimg.com/profile_images/610553486942564352/aCPg7kHg.jpg","View")</f>
        <v>View</v>
      </c>
    </row>
    <row r="318" spans="1:21" ht="51">
      <c r="A318" s="6">
        <v>43442.516458333332</v>
      </c>
      <c r="B318" s="7" t="str">
        <f>HYPERLINK("https://twitter.com/MargaCa51346742","@MargaCa51346742")</f>
        <v>@MargaCa51346742</v>
      </c>
      <c r="C318" s="8" t="s">
        <v>1374</v>
      </c>
      <c r="D318" s="9" t="s">
        <v>1375</v>
      </c>
      <c r="E318" s="10" t="str">
        <f>HYPERLINK("https://twitter.com/MargaCa51346742/status/1071364693158215681","1071364693158215681")</f>
        <v>1071364693158215681</v>
      </c>
      <c r="F318" s="11" t="s">
        <v>1376</v>
      </c>
      <c r="G318" s="11" t="s">
        <v>1377</v>
      </c>
      <c r="H318" s="12" t="str">
        <f>HYPERLINK("https://ctrlq.org/maps/address/#39.4612964,-0.3687881","Map")</f>
        <v>Map</v>
      </c>
      <c r="I318" s="13">
        <v>0</v>
      </c>
      <c r="J318" s="13">
        <v>0</v>
      </c>
      <c r="K318" s="14" t="str">
        <f t="shared" ref="K318:K320" si="57">HYPERLINK("http://twitter.com/download/android","Twitter for Android")</f>
        <v>Twitter for Android</v>
      </c>
      <c r="L318" s="13">
        <v>4</v>
      </c>
      <c r="M318" s="13">
        <v>0</v>
      </c>
      <c r="N318" s="13">
        <v>0</v>
      </c>
      <c r="O318" s="15"/>
      <c r="P318" s="6">
        <v>43208.742638888885</v>
      </c>
      <c r="Q318" s="16" t="s">
        <v>230</v>
      </c>
      <c r="R318" s="19"/>
      <c r="S318" s="12"/>
      <c r="T318" s="12"/>
      <c r="U318" s="18" t="s">
        <v>67</v>
      </c>
    </row>
    <row r="319" spans="1:21" ht="51">
      <c r="A319" s="6">
        <v>43442.515567129631</v>
      </c>
      <c r="B319" s="7" t="str">
        <f>HYPERLINK("https://twitter.com/JoseLui43872588","@JoseLui43872588")</f>
        <v>@JoseLui43872588</v>
      </c>
      <c r="C319" s="8" t="s">
        <v>1378</v>
      </c>
      <c r="D319" s="9" t="s">
        <v>1379</v>
      </c>
      <c r="E319" s="10" t="str">
        <f>HYPERLINK("https://twitter.com/JoseLui43872588/status/1071364372101038080","1071364372101038080")</f>
        <v>1071364372101038080</v>
      </c>
      <c r="F319" s="12"/>
      <c r="G319" s="12"/>
      <c r="H319" s="12"/>
      <c r="I319" s="13">
        <v>0</v>
      </c>
      <c r="J319" s="13">
        <v>0</v>
      </c>
      <c r="K319" s="14" t="str">
        <f t="shared" si="57"/>
        <v>Twitter for Android</v>
      </c>
      <c r="L319" s="13">
        <v>518</v>
      </c>
      <c r="M319" s="13">
        <v>129</v>
      </c>
      <c r="N319" s="13">
        <v>7</v>
      </c>
      <c r="O319" s="15"/>
      <c r="P319" s="6">
        <v>42705.999224537038</v>
      </c>
      <c r="Q319" s="16" t="s">
        <v>230</v>
      </c>
      <c r="R319" s="17" t="s">
        <v>1380</v>
      </c>
      <c r="S319" s="12"/>
      <c r="T319" s="12"/>
      <c r="U319" s="10" t="str">
        <f>HYPERLINK("https://pbs.twimg.com/profile_images/1009872713064820737/I4zrX8RR.jpg","View")</f>
        <v>View</v>
      </c>
    </row>
    <row r="320" spans="1:21" ht="30.6">
      <c r="A320" s="6">
        <v>43442.515347222223</v>
      </c>
      <c r="B320" s="7" t="str">
        <f>HYPERLINK("https://twitter.com/EstrellaMonge1","@EstrellaMonge1")</f>
        <v>@EstrellaMonge1</v>
      </c>
      <c r="C320" s="8" t="s">
        <v>1381</v>
      </c>
      <c r="D320" s="9" t="s">
        <v>1382</v>
      </c>
      <c r="E320" s="10" t="str">
        <f>HYPERLINK("https://twitter.com/EstrellaMonge1/status/1071364289833984000","1071364289833984000")</f>
        <v>1071364289833984000</v>
      </c>
      <c r="F320" s="11" t="s">
        <v>1383</v>
      </c>
      <c r="G320" s="12"/>
      <c r="H320" s="12"/>
      <c r="I320" s="13">
        <v>0</v>
      </c>
      <c r="J320" s="13">
        <v>0</v>
      </c>
      <c r="K320" s="14" t="str">
        <f t="shared" si="57"/>
        <v>Twitter for Android</v>
      </c>
      <c r="L320" s="13">
        <v>1904</v>
      </c>
      <c r="M320" s="13">
        <v>4998</v>
      </c>
      <c r="N320" s="13">
        <v>111</v>
      </c>
      <c r="O320" s="15"/>
      <c r="P320" s="6">
        <v>40911.708993055552</v>
      </c>
      <c r="Q320" s="16" t="s">
        <v>60</v>
      </c>
      <c r="R320" s="17" t="s">
        <v>1384</v>
      </c>
      <c r="S320" s="12"/>
      <c r="T320" s="12"/>
      <c r="U320" s="10" t="str">
        <f>HYPERLINK("https://pbs.twimg.com/profile_images/1062093513159049216/mAkXXRvX.jpg","View")</f>
        <v>View</v>
      </c>
    </row>
    <row r="321" spans="1:21" ht="20.399999999999999">
      <c r="A321" s="6">
        <v>43442.514143518521</v>
      </c>
      <c r="B321" s="7" t="str">
        <f>HYPERLINK("https://twitter.com/ElPeriodicoDo","@ElPeriodicoDo")</f>
        <v>@ElPeriodicoDo</v>
      </c>
      <c r="C321" s="8" t="s">
        <v>1385</v>
      </c>
      <c r="D321" s="9" t="s">
        <v>1386</v>
      </c>
      <c r="E321" s="10" t="str">
        <f>HYPERLINK("https://twitter.com/ElPeriodicoDo/status/1071363852498059264","1071363852498059264")</f>
        <v>1071363852498059264</v>
      </c>
      <c r="F321" s="11" t="s">
        <v>1387</v>
      </c>
      <c r="G321" s="12"/>
      <c r="H321" s="12"/>
      <c r="I321" s="13">
        <v>0</v>
      </c>
      <c r="J321" s="13">
        <v>0</v>
      </c>
      <c r="K321" s="14" t="str">
        <f>HYPERLINK("https://www.google.com/","Google")</f>
        <v>Google</v>
      </c>
      <c r="L321" s="13">
        <v>2425</v>
      </c>
      <c r="M321" s="13">
        <v>2482</v>
      </c>
      <c r="N321" s="13">
        <v>20</v>
      </c>
      <c r="O321" s="15"/>
      <c r="P321" s="6">
        <v>41293.976157407407</v>
      </c>
      <c r="Q321" s="16" t="s">
        <v>1388</v>
      </c>
      <c r="R321" s="23" t="s">
        <v>1389</v>
      </c>
      <c r="S321" s="11" t="s">
        <v>1389</v>
      </c>
      <c r="T321" s="12"/>
      <c r="U321" s="10" t="str">
        <f>HYPERLINK("https://pbs.twimg.com/profile_images/1071349676765376512/zAMPUjw5.jpg","View")</f>
        <v>View</v>
      </c>
    </row>
    <row r="322" spans="1:21" ht="51">
      <c r="A322" s="6">
        <v>43442.508888888886</v>
      </c>
      <c r="B322" s="7" t="str">
        <f>HYPERLINK("https://twitter.com/JuanghMontcada","@JuanghMontcada")</f>
        <v>@JuanghMontcada</v>
      </c>
      <c r="C322" s="8" t="s">
        <v>1392</v>
      </c>
      <c r="D322" s="9" t="s">
        <v>1393</v>
      </c>
      <c r="E322" s="10" t="str">
        <f>HYPERLINK("https://twitter.com/JuanghMontcada/status/1071361948745371648","1071361948745371648")</f>
        <v>1071361948745371648</v>
      </c>
      <c r="F322" s="12"/>
      <c r="G322" s="12"/>
      <c r="H322" s="12"/>
      <c r="I322" s="13">
        <v>0</v>
      </c>
      <c r="J322" s="13">
        <v>0</v>
      </c>
      <c r="K322" s="14" t="str">
        <f>HYPERLINK("http://twitter.com/download/android","Twitter for Android")</f>
        <v>Twitter for Android</v>
      </c>
      <c r="L322" s="13">
        <v>352</v>
      </c>
      <c r="M322" s="13">
        <v>715</v>
      </c>
      <c r="N322" s="13">
        <v>5</v>
      </c>
      <c r="O322" s="15"/>
      <c r="P322" s="6">
        <v>40851.843425925923</v>
      </c>
      <c r="Q322" s="16" t="s">
        <v>1394</v>
      </c>
      <c r="R322" s="17" t="s">
        <v>1395</v>
      </c>
      <c r="S322" s="11" t="s">
        <v>1396</v>
      </c>
      <c r="T322" s="12"/>
      <c r="U322" s="10" t="str">
        <f>HYPERLINK("https://pbs.twimg.com/profile_images/861137977774419970/qwbUmwJP.jpg","View")</f>
        <v>View</v>
      </c>
    </row>
    <row r="323" spans="1:21" ht="30.6">
      <c r="A323" s="6">
        <v>43442.507638888885</v>
      </c>
      <c r="B323" s="7" t="str">
        <f>HYPERLINK("https://twitter.com/iFerry_","@iFerry_")</f>
        <v>@iFerry_</v>
      </c>
      <c r="C323" s="8" t="s">
        <v>1397</v>
      </c>
      <c r="D323" s="9" t="s">
        <v>1398</v>
      </c>
      <c r="E323" s="10" t="str">
        <f>HYPERLINK("https://twitter.com/iFerry_/status/1071361497744490497","1071361497744490497")</f>
        <v>1071361497744490497</v>
      </c>
      <c r="F323" s="12"/>
      <c r="G323" s="12"/>
      <c r="H323" s="12"/>
      <c r="I323" s="13">
        <v>0</v>
      </c>
      <c r="J323" s="13">
        <v>8</v>
      </c>
      <c r="K323" s="14" t="str">
        <f>HYPERLINK("http://twitter.com","Twitter Web Client")</f>
        <v>Twitter Web Client</v>
      </c>
      <c r="L323" s="13">
        <v>1632</v>
      </c>
      <c r="M323" s="13">
        <v>262</v>
      </c>
      <c r="N323" s="13">
        <v>9</v>
      </c>
      <c r="O323" s="15"/>
      <c r="P323" s="6">
        <v>41958.780972222223</v>
      </c>
      <c r="Q323" s="16" t="s">
        <v>1399</v>
      </c>
      <c r="R323" s="17" t="s">
        <v>1400</v>
      </c>
      <c r="S323" s="11" t="s">
        <v>1401</v>
      </c>
      <c r="T323" s="12"/>
      <c r="U323" s="10" t="str">
        <f>HYPERLINK("https://pbs.twimg.com/profile_images/1064250457680502784/w_gAUJDK.jpg","View")</f>
        <v>View</v>
      </c>
    </row>
    <row r="324" spans="1:21" ht="30.6">
      <c r="A324" s="6">
        <v>43442.507384259261</v>
      </c>
      <c r="B324" s="7" t="str">
        <f>HYPERLINK("https://twitter.com/jcarloslh","@jcarloslh")</f>
        <v>@jcarloslh</v>
      </c>
      <c r="C324" s="8" t="s">
        <v>1402</v>
      </c>
      <c r="D324" s="9" t="s">
        <v>1403</v>
      </c>
      <c r="E324" s="10" t="str">
        <f>HYPERLINK("https://twitter.com/jcarloslh/status/1071361404765171713","1071361404765171713")</f>
        <v>1071361404765171713</v>
      </c>
      <c r="F324" s="11" t="s">
        <v>1404</v>
      </c>
      <c r="G324" s="12"/>
      <c r="H324" s="12"/>
      <c r="I324" s="13">
        <v>0</v>
      </c>
      <c r="J324" s="13">
        <v>0</v>
      </c>
      <c r="K324" s="14" t="str">
        <f>HYPERLINK("http://www.facebook.com/twitter","Facebook")</f>
        <v>Facebook</v>
      </c>
      <c r="L324" s="13">
        <v>186</v>
      </c>
      <c r="M324" s="13">
        <v>190</v>
      </c>
      <c r="N324" s="13">
        <v>9</v>
      </c>
      <c r="O324" s="15"/>
      <c r="P324" s="6">
        <v>40433.91541666667</v>
      </c>
      <c r="Q324" s="16" t="s">
        <v>60</v>
      </c>
      <c r="R324" s="19"/>
      <c r="S324" s="12"/>
      <c r="T324" s="12"/>
      <c r="U324" s="10" t="str">
        <f>HYPERLINK("https://pbs.twimg.com/profile_images/3399813895/ffa75fdcb08baf5251d475f9fca4c818.jpeg","View")</f>
        <v>View</v>
      </c>
    </row>
    <row r="325" spans="1:21" ht="30.6">
      <c r="A325" s="6">
        <v>43442.506944444445</v>
      </c>
      <c r="B325" s="7" t="str">
        <f>HYPERLINK("https://twitter.com/ElHuffPost","@ElHuffPost")</f>
        <v>@ElHuffPost</v>
      </c>
      <c r="C325" s="8" t="s">
        <v>1405</v>
      </c>
      <c r="D325" s="9" t="s">
        <v>1406</v>
      </c>
      <c r="E325" s="10" t="str">
        <f>HYPERLINK("https://twitter.com/ElHuffPost/status/1071361244664422400","1071361244664422400")</f>
        <v>1071361244664422400</v>
      </c>
      <c r="F325" s="11" t="s">
        <v>1407</v>
      </c>
      <c r="G325" s="12"/>
      <c r="H325" s="12"/>
      <c r="I325" s="13">
        <v>2</v>
      </c>
      <c r="J325" s="13">
        <v>2</v>
      </c>
      <c r="K325" s="14" t="str">
        <f>HYPERLINK("https://about.twitter.com/products/tweetdeck","TweetDeck")</f>
        <v>TweetDeck</v>
      </c>
      <c r="L325" s="13">
        <v>431182</v>
      </c>
      <c r="M325" s="13">
        <v>1551</v>
      </c>
      <c r="N325" s="13">
        <v>8193</v>
      </c>
      <c r="O325" s="18" t="s">
        <v>41</v>
      </c>
      <c r="P325" s="6">
        <v>40785.027118055557</v>
      </c>
      <c r="Q325" s="16" t="s">
        <v>1408</v>
      </c>
      <c r="R325" s="17" t="s">
        <v>1409</v>
      </c>
      <c r="S325" s="11" t="s">
        <v>1410</v>
      </c>
      <c r="T325" s="12"/>
      <c r="U325" s="10" t="str">
        <f>HYPERLINK("https://pbs.twimg.com/profile_images/921140803422089217/ETOEUOAx.jpg","View")</f>
        <v>View</v>
      </c>
    </row>
    <row r="326" spans="1:21" ht="30.6">
      <c r="A326" s="6">
        <v>43442.505844907406</v>
      </c>
      <c r="B326" s="7" t="str">
        <f>HYPERLINK("https://twitter.com/lusucu1976","@lusucu1976")</f>
        <v>@lusucu1976</v>
      </c>
      <c r="C326" s="8" t="s">
        <v>1411</v>
      </c>
      <c r="D326" s="9" t="s">
        <v>1412</v>
      </c>
      <c r="E326" s="10" t="str">
        <f>HYPERLINK("https://twitter.com/lusucu1976/status/1071360848600424450","1071360848600424450")</f>
        <v>1071360848600424450</v>
      </c>
      <c r="F326" s="11" t="s">
        <v>1413</v>
      </c>
      <c r="G326" s="11" t="s">
        <v>1414</v>
      </c>
      <c r="H326" s="12"/>
      <c r="I326" s="13">
        <v>1</v>
      </c>
      <c r="J326" s="13">
        <v>0</v>
      </c>
      <c r="K326" s="14" t="str">
        <f>HYPERLINK("http://twitter.com/download/android","Twitter for Android")</f>
        <v>Twitter for Android</v>
      </c>
      <c r="L326" s="13">
        <v>767</v>
      </c>
      <c r="M326" s="13">
        <v>611</v>
      </c>
      <c r="N326" s="13">
        <v>11</v>
      </c>
      <c r="O326" s="15"/>
      <c r="P326" s="6">
        <v>41813.531782407408</v>
      </c>
      <c r="Q326" s="16" t="s">
        <v>1415</v>
      </c>
      <c r="R326" s="17" t="s">
        <v>1416</v>
      </c>
      <c r="S326" s="11" t="s">
        <v>1417</v>
      </c>
      <c r="T326" s="12"/>
      <c r="U326" s="10" t="str">
        <f>HYPERLINK("https://pbs.twimg.com/profile_images/1009104209009143809/EgXM1-3v.jpg","View")</f>
        <v>View</v>
      </c>
    </row>
    <row r="327" spans="1:21" ht="30.6">
      <c r="A327" s="6">
        <v>43442.505740740744</v>
      </c>
      <c r="B327" s="7" t="str">
        <f>HYPERLINK("https://twitter.com/ElPeriodicoDo","@ElPeriodicoDo")</f>
        <v>@ElPeriodicoDo</v>
      </c>
      <c r="C327" s="8" t="s">
        <v>1385</v>
      </c>
      <c r="D327" s="9" t="s">
        <v>1418</v>
      </c>
      <c r="E327" s="10" t="str">
        <f>HYPERLINK("https://twitter.com/ElPeriodicoDo/status/1071360809832538115","1071360809832538115")</f>
        <v>1071360809832538115</v>
      </c>
      <c r="F327" s="11" t="s">
        <v>1419</v>
      </c>
      <c r="G327" s="11" t="s">
        <v>1420</v>
      </c>
      <c r="H327" s="12"/>
      <c r="I327" s="13">
        <v>0</v>
      </c>
      <c r="J327" s="13">
        <v>0</v>
      </c>
      <c r="K327" s="14" t="str">
        <f>HYPERLINK("http://www.elperiodico.com.do","ElPeriodicoDO")</f>
        <v>ElPeriodicoDO</v>
      </c>
      <c r="L327" s="13">
        <v>2425</v>
      </c>
      <c r="M327" s="13">
        <v>2482</v>
      </c>
      <c r="N327" s="13">
        <v>20</v>
      </c>
      <c r="O327" s="15"/>
      <c r="P327" s="6">
        <v>41293.976157407407</v>
      </c>
      <c r="Q327" s="16" t="s">
        <v>1388</v>
      </c>
      <c r="R327" s="23" t="s">
        <v>1389</v>
      </c>
      <c r="S327" s="11" t="s">
        <v>1389</v>
      </c>
      <c r="T327" s="12"/>
      <c r="U327" s="10" t="str">
        <f>HYPERLINK("https://pbs.twimg.com/profile_images/1071349676765376512/zAMPUjw5.jpg","View")</f>
        <v>View</v>
      </c>
    </row>
    <row r="328" spans="1:21" ht="40.799999999999997">
      <c r="A328" s="6">
        <v>43442.505231481482</v>
      </c>
      <c r="B328" s="7" t="str">
        <f>HYPERLINK("https://twitter.com/ElExecutor","@ElExecutor")</f>
        <v>@ElExecutor</v>
      </c>
      <c r="C328" s="8" t="s">
        <v>1421</v>
      </c>
      <c r="D328" s="9" t="s">
        <v>1422</v>
      </c>
      <c r="E328" s="10" t="str">
        <f>HYPERLINK("https://twitter.com/ElExecutor/status/1071360626583355392","1071360626583355392")</f>
        <v>1071360626583355392</v>
      </c>
      <c r="F328" s="11" t="s">
        <v>576</v>
      </c>
      <c r="G328" s="12"/>
      <c r="H328" s="12"/>
      <c r="I328" s="13">
        <v>0</v>
      </c>
      <c r="J328" s="13">
        <v>1</v>
      </c>
      <c r="K328" s="14" t="str">
        <f>HYPERLINK("http://twitter.com/download/android","Twitter for Android")</f>
        <v>Twitter for Android</v>
      </c>
      <c r="L328" s="13">
        <v>209</v>
      </c>
      <c r="M328" s="13">
        <v>167</v>
      </c>
      <c r="N328" s="13">
        <v>22</v>
      </c>
      <c r="O328" s="15"/>
      <c r="P328" s="6">
        <v>40442.065335648149</v>
      </c>
      <c r="Q328" s="16" t="s">
        <v>367</v>
      </c>
      <c r="R328" s="17" t="s">
        <v>1423</v>
      </c>
      <c r="S328" s="12"/>
      <c r="T328" s="12"/>
      <c r="U328" s="10" t="str">
        <f>HYPERLINK("https://pbs.twimg.com/profile_images/830177698873999362/AgUzTH5F.jpg","View")</f>
        <v>View</v>
      </c>
    </row>
    <row r="329" spans="1:21" ht="30.6">
      <c r="A329" s="6">
        <v>43442.501041666663</v>
      </c>
      <c r="B329" s="7" t="str">
        <f>HYPERLINK("https://twitter.com/EDUARDORODRI103","@EDUARDORODRI103")</f>
        <v>@EDUARDORODRI103</v>
      </c>
      <c r="C329" s="8" t="s">
        <v>1424</v>
      </c>
      <c r="D329" s="9" t="s">
        <v>1114</v>
      </c>
      <c r="E329" s="10" t="str">
        <f>HYPERLINK("https://twitter.com/EDUARDORODRI103/status/1071359108350009345","1071359108350009345")</f>
        <v>1071359108350009345</v>
      </c>
      <c r="F329" s="11" t="s">
        <v>1117</v>
      </c>
      <c r="G329" s="12"/>
      <c r="H329" s="12"/>
      <c r="I329" s="13">
        <v>0</v>
      </c>
      <c r="J329" s="13">
        <v>0</v>
      </c>
      <c r="K329" s="14" t="str">
        <f t="shared" ref="K329:K330" si="58">HYPERLINK("http://twitter.com","Twitter Web Client")</f>
        <v>Twitter Web Client</v>
      </c>
      <c r="L329" s="13">
        <v>276</v>
      </c>
      <c r="M329" s="13">
        <v>1031</v>
      </c>
      <c r="N329" s="13">
        <v>4</v>
      </c>
      <c r="O329" s="15"/>
      <c r="P329" s="6">
        <v>40747.542731481481</v>
      </c>
      <c r="Q329" s="16" t="s">
        <v>26</v>
      </c>
      <c r="R329" s="17" t="s">
        <v>1425</v>
      </c>
      <c r="S329" s="12"/>
      <c r="T329" s="12"/>
      <c r="U329" s="10" t="str">
        <f>HYPERLINK("https://pbs.twimg.com/profile_images/1038108388582928384/ER5eA8I5.jpg","View")</f>
        <v>View</v>
      </c>
    </row>
    <row r="330" spans="1:21" ht="40.799999999999997">
      <c r="A330" s="6">
        <v>43442.500694444447</v>
      </c>
      <c r="B330" s="7" t="str">
        <f>HYPERLINK("https://twitter.com/riazororg","@riazororg")</f>
        <v>@riazororg</v>
      </c>
      <c r="C330" s="20" t="s">
        <v>1426</v>
      </c>
      <c r="D330" s="9" t="s">
        <v>1427</v>
      </c>
      <c r="E330" s="10" t="str">
        <f>HYPERLINK("https://twitter.com/riazororg/status/1071358980386103296","1071358980386103296")</f>
        <v>1071358980386103296</v>
      </c>
      <c r="F330" s="11" t="s">
        <v>1428</v>
      </c>
      <c r="G330" s="12"/>
      <c r="H330" s="12"/>
      <c r="I330" s="13">
        <v>2</v>
      </c>
      <c r="J330" s="13">
        <v>3</v>
      </c>
      <c r="K330" s="14" t="str">
        <f t="shared" si="58"/>
        <v>Twitter Web Client</v>
      </c>
      <c r="L330" s="13">
        <v>54297</v>
      </c>
      <c r="M330" s="13">
        <v>755</v>
      </c>
      <c r="N330" s="13">
        <v>405</v>
      </c>
      <c r="O330" s="15"/>
      <c r="P330" s="6">
        <v>40245.825752314813</v>
      </c>
      <c r="Q330" s="16" t="s">
        <v>1429</v>
      </c>
      <c r="R330" s="17" t="s">
        <v>1430</v>
      </c>
      <c r="S330" s="11" t="s">
        <v>1431</v>
      </c>
      <c r="T330" s="12"/>
      <c r="U330" s="10" t="str">
        <f>HYPERLINK("https://pbs.twimg.com/profile_images/1067739279185596416/z5hmLaLD.jpg","View")</f>
        <v>View</v>
      </c>
    </row>
    <row r="331" spans="1:21" ht="40.799999999999997">
      <c r="A331" s="6">
        <v>43442.5</v>
      </c>
      <c r="B331" s="7" t="str">
        <f>HYPERLINK("https://twitter.com/120minutosTM","@120minutosTM")</f>
        <v>@120minutosTM</v>
      </c>
      <c r="C331" s="8" t="s">
        <v>1432</v>
      </c>
      <c r="D331" s="9" t="s">
        <v>1433</v>
      </c>
      <c r="E331" s="10" t="str">
        <f>HYPERLINK("https://twitter.com/120minutosTM/status/1071358730590146560","1071358730590146560")</f>
        <v>1071358730590146560</v>
      </c>
      <c r="F331" s="11" t="s">
        <v>1434</v>
      </c>
      <c r="G331" s="11" t="s">
        <v>1435</v>
      </c>
      <c r="H331" s="12"/>
      <c r="I331" s="13">
        <v>0</v>
      </c>
      <c r="J331" s="13">
        <v>0</v>
      </c>
      <c r="K331" s="14" t="str">
        <f>HYPERLINK("http://dogtrack.es","DogTrack_Oficial")</f>
        <v>DogTrack_Oficial</v>
      </c>
      <c r="L331" s="13">
        <v>1686</v>
      </c>
      <c r="M331" s="13">
        <v>212</v>
      </c>
      <c r="N331" s="13">
        <v>18</v>
      </c>
      <c r="O331" s="15"/>
      <c r="P331" s="6">
        <v>43129.453402777777</v>
      </c>
      <c r="Q331" s="16" t="s">
        <v>26</v>
      </c>
      <c r="R331" s="17" t="s">
        <v>1436</v>
      </c>
      <c r="S331" s="11" t="s">
        <v>1437</v>
      </c>
      <c r="T331" s="12"/>
      <c r="U331" s="10" t="str">
        <f>HYPERLINK("https://pbs.twimg.com/profile_images/1008997691165200384/SMjhDWGJ.jpg","View")</f>
        <v>View</v>
      </c>
    </row>
    <row r="332" spans="1:21" ht="30.6">
      <c r="A332" s="6">
        <v>43442.496967592597</v>
      </c>
      <c r="B332" s="7" t="str">
        <f>HYPERLINK("https://twitter.com/AgustiPeiro","@AgustiPeiro")</f>
        <v>@AgustiPeiro</v>
      </c>
      <c r="C332" s="8" t="s">
        <v>1438</v>
      </c>
      <c r="D332" s="9" t="s">
        <v>1439</v>
      </c>
      <c r="E332" s="10" t="str">
        <f>HYPERLINK("https://twitter.com/AgustiPeiro/status/1071357629891571712","1071357629891571712")</f>
        <v>1071357629891571712</v>
      </c>
      <c r="F332" s="11" t="s">
        <v>1440</v>
      </c>
      <c r="G332" s="12"/>
      <c r="H332" s="12"/>
      <c r="I332" s="13">
        <v>0</v>
      </c>
      <c r="J332" s="13">
        <v>0</v>
      </c>
      <c r="K332" s="14" t="str">
        <f t="shared" ref="K332:K334" si="59">HYPERLINK("http://twitter.com","Twitter Web Client")</f>
        <v>Twitter Web Client</v>
      </c>
      <c r="L332" s="13">
        <v>505</v>
      </c>
      <c r="M332" s="13">
        <v>843</v>
      </c>
      <c r="N332" s="13">
        <v>6</v>
      </c>
      <c r="O332" s="15"/>
      <c r="P332" s="6">
        <v>41791.515787037039</v>
      </c>
      <c r="Q332" s="16" t="s">
        <v>1441</v>
      </c>
      <c r="R332" s="17" t="s">
        <v>1442</v>
      </c>
      <c r="S332" s="12"/>
      <c r="T332" s="12"/>
      <c r="U332" s="10" t="str">
        <f>HYPERLINK("https://pbs.twimg.com/profile_images/998862677198848000/IHx8rZ6c.jpg","View")</f>
        <v>View</v>
      </c>
    </row>
    <row r="333" spans="1:21" ht="40.799999999999997">
      <c r="A333" s="6">
        <v>43442.496631944443</v>
      </c>
      <c r="B333" s="7" t="str">
        <f>HYPERLINK("https://twitter.com/cardinaleconnor","@cardinaleconnor")</f>
        <v>@cardinaleconnor</v>
      </c>
      <c r="C333" s="8" t="s">
        <v>1443</v>
      </c>
      <c r="D333" s="9" t="s">
        <v>1444</v>
      </c>
      <c r="E333" s="10" t="str">
        <f>HYPERLINK("https://twitter.com/cardinaleconnor/status/1071357506318991360","1071357506318991360")</f>
        <v>1071357506318991360</v>
      </c>
      <c r="F333" s="12"/>
      <c r="G333" s="12"/>
      <c r="H333" s="12"/>
      <c r="I333" s="13">
        <v>0</v>
      </c>
      <c r="J333" s="13">
        <v>0</v>
      </c>
      <c r="K333" s="14" t="str">
        <f t="shared" si="59"/>
        <v>Twitter Web Client</v>
      </c>
      <c r="L333" s="13">
        <v>910</v>
      </c>
      <c r="M333" s="13">
        <v>1611</v>
      </c>
      <c r="N333" s="13">
        <v>12</v>
      </c>
      <c r="O333" s="15"/>
      <c r="P333" s="6">
        <v>40787.979074074072</v>
      </c>
      <c r="Q333" s="12"/>
      <c r="R333" s="17" t="s">
        <v>1445</v>
      </c>
      <c r="S333" s="12"/>
      <c r="T333" s="12"/>
      <c r="U333" s="10" t="str">
        <f>HYPERLINK("https://pbs.twimg.com/profile_images/1071089240249942017/KoLz__9l.jpg","View")</f>
        <v>View</v>
      </c>
    </row>
    <row r="334" spans="1:21" ht="30.6">
      <c r="A334" s="6">
        <v>43442.495057870372</v>
      </c>
      <c r="B334" s="7" t="str">
        <f>HYPERLINK("https://twitter.com/garciatornell","@garciatornell")</f>
        <v>@garciatornell</v>
      </c>
      <c r="C334" s="8" t="s">
        <v>1447</v>
      </c>
      <c r="D334" s="9" t="s">
        <v>892</v>
      </c>
      <c r="E334" s="10" t="str">
        <f>HYPERLINK("https://twitter.com/garciatornell/status/1071356937449717760","1071356937449717760")</f>
        <v>1071356937449717760</v>
      </c>
      <c r="F334" s="11" t="s">
        <v>893</v>
      </c>
      <c r="G334" s="12"/>
      <c r="H334" s="12"/>
      <c r="I334" s="13">
        <v>0</v>
      </c>
      <c r="J334" s="13">
        <v>0</v>
      </c>
      <c r="K334" s="14" t="str">
        <f t="shared" si="59"/>
        <v>Twitter Web Client</v>
      </c>
      <c r="L334" s="13">
        <v>315</v>
      </c>
      <c r="M334" s="13">
        <v>456</v>
      </c>
      <c r="N334" s="13">
        <v>11</v>
      </c>
      <c r="O334" s="15"/>
      <c r="P334" s="6">
        <v>41620.609317129631</v>
      </c>
      <c r="Q334" s="16" t="s">
        <v>1450</v>
      </c>
      <c r="R334" s="17" t="s">
        <v>1451</v>
      </c>
      <c r="S334" s="12"/>
      <c r="T334" s="12"/>
      <c r="U334" s="10" t="str">
        <f>HYPERLINK("https://pbs.twimg.com/profile_images/378800000863588192/YCtcJ-ZE.jpeg","View")</f>
        <v>View</v>
      </c>
    </row>
    <row r="335" spans="1:21" ht="30.6">
      <c r="A335" s="6">
        <v>43442.494826388887</v>
      </c>
      <c r="B335" s="7" t="str">
        <f>HYPERLINK("https://twitter.com/rcdlccom","@rcdlccom")</f>
        <v>@rcdlccom</v>
      </c>
      <c r="C335" s="20" t="s">
        <v>1039</v>
      </c>
      <c r="D335" s="9" t="s">
        <v>1452</v>
      </c>
      <c r="E335" s="10" t="str">
        <f>HYPERLINK("https://twitter.com/rcdlccom/status/1071356854448635904","1071356854448635904")</f>
        <v>1071356854448635904</v>
      </c>
      <c r="F335" s="12"/>
      <c r="G335" s="12"/>
      <c r="H335" s="12"/>
      <c r="I335" s="13">
        <v>0</v>
      </c>
      <c r="J335" s="13">
        <v>0</v>
      </c>
      <c r="K335" s="14" t="str">
        <f>HYPERLINK("https://about.twitter.com/products/tweetdeck","TweetDeck")</f>
        <v>TweetDeck</v>
      </c>
      <c r="L335" s="13">
        <v>5533</v>
      </c>
      <c r="M335" s="13">
        <v>413</v>
      </c>
      <c r="N335" s="13">
        <v>108</v>
      </c>
      <c r="O335" s="15"/>
      <c r="P335" s="6">
        <v>40633.172534722224</v>
      </c>
      <c r="Q335" s="16" t="s">
        <v>842</v>
      </c>
      <c r="R335" s="17" t="s">
        <v>1042</v>
      </c>
      <c r="S335" s="11" t="s">
        <v>1043</v>
      </c>
      <c r="T335" s="12"/>
      <c r="U335" s="10" t="str">
        <f>HYPERLINK("https://pbs.twimg.com/profile_images/459144183727390721/UKy6skHU.jpeg","View")</f>
        <v>View</v>
      </c>
    </row>
    <row r="336" spans="1:21" ht="13.2">
      <c r="A336" s="6">
        <v>43442.494432870371</v>
      </c>
      <c r="B336" s="7" t="str">
        <f>HYPERLINK("https://twitter.com/PeGeCe72","@PeGeCe72")</f>
        <v>@PeGeCe72</v>
      </c>
      <c r="C336" s="8" t="s">
        <v>1453</v>
      </c>
      <c r="D336" s="9" t="s">
        <v>1454</v>
      </c>
      <c r="E336" s="10" t="str">
        <f>HYPERLINK("https://twitter.com/PeGeCe72/status/1071356712538570753","1071356712538570753")</f>
        <v>1071356712538570753</v>
      </c>
      <c r="F336" s="11" t="s">
        <v>1455</v>
      </c>
      <c r="G336" s="12"/>
      <c r="H336" s="12"/>
      <c r="I336" s="13">
        <v>1</v>
      </c>
      <c r="J336" s="13">
        <v>3</v>
      </c>
      <c r="K336" s="14" t="str">
        <f t="shared" ref="K336:K338" si="60">HYPERLINK("http://twitter.com","Twitter Web Client")</f>
        <v>Twitter Web Client</v>
      </c>
      <c r="L336" s="13">
        <v>161</v>
      </c>
      <c r="M336" s="13">
        <v>193</v>
      </c>
      <c r="N336" s="13">
        <v>0</v>
      </c>
      <c r="O336" s="15"/>
      <c r="P336" s="6">
        <v>43367.735046296293</v>
      </c>
      <c r="Q336" s="12"/>
      <c r="R336" s="17" t="s">
        <v>1456</v>
      </c>
      <c r="S336" s="12"/>
      <c r="T336" s="12"/>
      <c r="U336" s="10" t="str">
        <f>HYPERLINK("https://pbs.twimg.com/profile_images/1070650020565786629/9I6l_W3V.jpg","View")</f>
        <v>View</v>
      </c>
    </row>
    <row r="337" spans="1:21" ht="30.6">
      <c r="A337" s="6">
        <v>43442.494097222225</v>
      </c>
      <c r="B337" s="7" t="str">
        <f>HYPERLINK("https://twitter.com/AIC_Angelir","@AIC_Angelir")</f>
        <v>@AIC_Angelir</v>
      </c>
      <c r="C337" s="8" t="s">
        <v>1457</v>
      </c>
      <c r="D337" s="9" t="s">
        <v>1458</v>
      </c>
      <c r="E337" s="10" t="str">
        <f>HYPERLINK("https://twitter.com/AIC_Angelir/status/1071356590517829636","1071356590517829636")</f>
        <v>1071356590517829636</v>
      </c>
      <c r="F337" s="16" t="s">
        <v>1459</v>
      </c>
      <c r="G337" s="11" t="s">
        <v>1460</v>
      </c>
      <c r="H337" s="12"/>
      <c r="I337" s="13">
        <v>0</v>
      </c>
      <c r="J337" s="13">
        <v>0</v>
      </c>
      <c r="K337" s="14" t="str">
        <f t="shared" si="60"/>
        <v>Twitter Web Client</v>
      </c>
      <c r="L337" s="13">
        <v>74</v>
      </c>
      <c r="M337" s="13">
        <v>4276</v>
      </c>
      <c r="N337" s="13">
        <v>0</v>
      </c>
      <c r="O337" s="15"/>
      <c r="P337" s="6">
        <v>41119.516828703701</v>
      </c>
      <c r="Q337" s="16" t="s">
        <v>1461</v>
      </c>
      <c r="R337" s="17" t="s">
        <v>1462</v>
      </c>
      <c r="S337" s="11" t="s">
        <v>1463</v>
      </c>
      <c r="T337" s="12"/>
      <c r="U337" s="10" t="str">
        <f>HYPERLINK("https://pbs.twimg.com/profile_images/755053183160971264/AxHi4uss.jpg","View")</f>
        <v>View</v>
      </c>
    </row>
    <row r="338" spans="1:21" ht="51">
      <c r="A338" s="6">
        <v>43442.494016203702</v>
      </c>
      <c r="B338" s="7" t="str">
        <f>HYPERLINK("https://twitter.com/EHNSR","@EHNSR")</f>
        <v>@EHNSR</v>
      </c>
      <c r="C338" s="8" t="s">
        <v>1464</v>
      </c>
      <c r="D338" s="9" t="s">
        <v>1465</v>
      </c>
      <c r="E338" s="10" t="str">
        <f>HYPERLINK("https://twitter.com/EHNSR/status/1071356559165399040","1071356559165399040")</f>
        <v>1071356559165399040</v>
      </c>
      <c r="F338" s="12"/>
      <c r="G338" s="11" t="s">
        <v>1466</v>
      </c>
      <c r="H338" s="12"/>
      <c r="I338" s="13">
        <v>1</v>
      </c>
      <c r="J338" s="13">
        <v>1</v>
      </c>
      <c r="K338" s="14" t="str">
        <f t="shared" si="60"/>
        <v>Twitter Web Client</v>
      </c>
      <c r="L338" s="13">
        <v>7557</v>
      </c>
      <c r="M338" s="13">
        <v>195</v>
      </c>
      <c r="N338" s="13">
        <v>80</v>
      </c>
      <c r="O338" s="15"/>
      <c r="P338" s="6">
        <v>40877.78361111111</v>
      </c>
      <c r="Q338" s="16" t="s">
        <v>1429</v>
      </c>
      <c r="R338" s="17" t="s">
        <v>1467</v>
      </c>
      <c r="S338" s="12"/>
      <c r="T338" s="12"/>
      <c r="U338" s="10" t="str">
        <f>HYPERLINK("https://pbs.twimg.com/profile_images/1012439188950614021/_xkkiKIh.jpg","View")</f>
        <v>View</v>
      </c>
    </row>
    <row r="339" spans="1:21" ht="20.399999999999999">
      <c r="A339" s="6">
        <v>43442.493773148148</v>
      </c>
      <c r="B339" s="7" t="str">
        <f>HYPERLINK("https://twitter.com/EP_Mundo","@EP_Mundo")</f>
        <v>@EP_Mundo</v>
      </c>
      <c r="C339" s="8" t="s">
        <v>735</v>
      </c>
      <c r="D339" s="9" t="s">
        <v>736</v>
      </c>
      <c r="E339" s="10" t="str">
        <f>HYPERLINK("https://twitter.com/EP_Mundo/status/1071356471231897607","1071356471231897607")</f>
        <v>1071356471231897607</v>
      </c>
      <c r="F339" s="11" t="s">
        <v>737</v>
      </c>
      <c r="G339" s="11" t="s">
        <v>1469</v>
      </c>
      <c r="H339" s="12"/>
      <c r="I339" s="13">
        <v>0</v>
      </c>
      <c r="J339" s="13">
        <v>0</v>
      </c>
      <c r="K339" s="14" t="str">
        <f>HYPERLINK("http://epmundo.com","Tuiteo TOP EP (2)")</f>
        <v>Tuiteo TOP EP (2)</v>
      </c>
      <c r="L339" s="13">
        <v>510220</v>
      </c>
      <c r="M339" s="13">
        <v>301867</v>
      </c>
      <c r="N339" s="13">
        <v>1363</v>
      </c>
      <c r="O339" s="15"/>
      <c r="P339" s="6">
        <v>40203.223078703704</v>
      </c>
      <c r="Q339" s="12"/>
      <c r="R339" s="17" t="s">
        <v>739</v>
      </c>
      <c r="S339" s="11" t="s">
        <v>740</v>
      </c>
      <c r="T339" s="12"/>
      <c r="U339" s="10" t="str">
        <f>HYPERLINK("https://pbs.twimg.com/profile_images/958329583778099200/87-xiuzB.jpg","View")</f>
        <v>View</v>
      </c>
    </row>
    <row r="340" spans="1:21" ht="40.799999999999997">
      <c r="A340" s="6">
        <v>43442.493611111116</v>
      </c>
      <c r="B340" s="7" t="str">
        <f>HYPERLINK("https://twitter.com/_23Sergio","@_23Sergio")</f>
        <v>@_23Sergio</v>
      </c>
      <c r="C340" s="8" t="s">
        <v>1470</v>
      </c>
      <c r="D340" s="9" t="s">
        <v>1472</v>
      </c>
      <c r="E340" s="10" t="str">
        <f>HYPERLINK("https://twitter.com/_23Sergio/status/1071356413811847168","1071356413811847168")</f>
        <v>1071356413811847168</v>
      </c>
      <c r="F340" s="12"/>
      <c r="G340" s="11" t="s">
        <v>1473</v>
      </c>
      <c r="H340" s="12"/>
      <c r="I340" s="13">
        <v>1</v>
      </c>
      <c r="J340" s="13">
        <v>2</v>
      </c>
      <c r="K340" s="14" t="str">
        <f>HYPERLINK("http://twitter.com/download/android","Twitter for Android")</f>
        <v>Twitter for Android</v>
      </c>
      <c r="L340" s="13">
        <v>1344</v>
      </c>
      <c r="M340" s="13">
        <v>1825</v>
      </c>
      <c r="N340" s="13">
        <v>12</v>
      </c>
      <c r="O340" s="15"/>
      <c r="P340" s="6">
        <v>40503.781458333331</v>
      </c>
      <c r="Q340" s="16" t="s">
        <v>333</v>
      </c>
      <c r="R340" s="17" t="s">
        <v>1474</v>
      </c>
      <c r="S340" s="12"/>
      <c r="T340" s="12"/>
      <c r="U340" s="10" t="str">
        <f>HYPERLINK("https://pbs.twimg.com/profile_images/959348744822157312/wUGKBFb3.jpg","View")</f>
        <v>View</v>
      </c>
    </row>
    <row r="341" spans="1:21" ht="71.400000000000006">
      <c r="A341" s="6">
        <v>43442.493009259255</v>
      </c>
      <c r="B341" s="7" t="str">
        <f>HYPERLINK("https://twitter.com/Paquita_R","@Paquita_R")</f>
        <v>@Paquita_R</v>
      </c>
      <c r="C341" s="8" t="s">
        <v>520</v>
      </c>
      <c r="D341" s="9" t="s">
        <v>1475</v>
      </c>
      <c r="E341" s="10" t="str">
        <f>HYPERLINK("https://twitter.com/Paquita_R/status/1071356196911763461","1071356196911763461")</f>
        <v>1071356196911763461</v>
      </c>
      <c r="F341" s="11" t="s">
        <v>1476</v>
      </c>
      <c r="G341" s="12"/>
      <c r="H341" s="12"/>
      <c r="I341" s="13">
        <v>0</v>
      </c>
      <c r="J341" s="13">
        <v>0</v>
      </c>
      <c r="K341" s="14" t="str">
        <f>HYPERLINK("http://twitter.com","Twitter Web Client")</f>
        <v>Twitter Web Client</v>
      </c>
      <c r="L341" s="13">
        <v>83</v>
      </c>
      <c r="M341" s="13">
        <v>369</v>
      </c>
      <c r="N341" s="13">
        <v>1</v>
      </c>
      <c r="O341" s="15"/>
      <c r="P341" s="6">
        <v>40174.983449074076</v>
      </c>
      <c r="Q341" s="16" t="s">
        <v>200</v>
      </c>
      <c r="R341" s="19"/>
      <c r="S341" s="12"/>
      <c r="T341" s="12"/>
      <c r="U341" s="10" t="str">
        <f>HYPERLINK("https://pbs.twimg.com/profile_images/1067916239484436480/NAudR-HG.jpg","View")</f>
        <v>View</v>
      </c>
    </row>
    <row r="342" spans="1:21" ht="30.6">
      <c r="A342" s="6">
        <v>43442.492951388893</v>
      </c>
      <c r="B342" s="7" t="str">
        <f>HYPERLINK("https://twitter.com/desmarquedepor","@desmarquedepor")</f>
        <v>@desmarquedepor</v>
      </c>
      <c r="C342" s="8" t="s">
        <v>1478</v>
      </c>
      <c r="D342" s="9" t="s">
        <v>1479</v>
      </c>
      <c r="E342" s="10" t="str">
        <f>HYPERLINK("https://twitter.com/desmarquedepor/status/1071356174942068736","1071356174942068736")</f>
        <v>1071356174942068736</v>
      </c>
      <c r="F342" s="12"/>
      <c r="G342" s="12"/>
      <c r="H342" s="12"/>
      <c r="I342" s="13">
        <v>0</v>
      </c>
      <c r="J342" s="13">
        <v>0</v>
      </c>
      <c r="K342" s="14" t="str">
        <f>HYPERLINK("https://about.twitter.com/products/tweetdeck","TweetDeck")</f>
        <v>TweetDeck</v>
      </c>
      <c r="L342" s="13">
        <v>3883</v>
      </c>
      <c r="M342" s="13">
        <v>323</v>
      </c>
      <c r="N342" s="13">
        <v>97</v>
      </c>
      <c r="O342" s="15"/>
      <c r="P342" s="6">
        <v>42301.794722222221</v>
      </c>
      <c r="Q342" s="16" t="s">
        <v>190</v>
      </c>
      <c r="R342" s="17" t="s">
        <v>1482</v>
      </c>
      <c r="S342" s="11" t="s">
        <v>1483</v>
      </c>
      <c r="T342" s="12"/>
      <c r="U342" s="10" t="str">
        <f>HYPERLINK("https://pbs.twimg.com/profile_images/1007117938573312003/xpNnwlna.jpg","View")</f>
        <v>View</v>
      </c>
    </row>
    <row r="343" spans="1:21" ht="40.799999999999997">
      <c r="A343" s="6">
        <v>43442.492025462961</v>
      </c>
      <c r="B343" s="7" t="str">
        <f>HYPERLINK("https://twitter.com/TITOBENET","@TITOBENET")</f>
        <v>@TITOBENET</v>
      </c>
      <c r="C343" s="8" t="s">
        <v>1484</v>
      </c>
      <c r="D343" s="9" t="s">
        <v>31</v>
      </c>
      <c r="E343" s="10" t="str">
        <f>HYPERLINK("https://twitter.com/TITOBENET/status/1071355838718197761","1071355838718197761")</f>
        <v>1071355838718197761</v>
      </c>
      <c r="F343" s="11" t="s">
        <v>1485</v>
      </c>
      <c r="G343" s="12"/>
      <c r="H343" s="12"/>
      <c r="I343" s="13">
        <v>0</v>
      </c>
      <c r="J343" s="13">
        <v>0</v>
      </c>
      <c r="K343" s="14" t="str">
        <f t="shared" ref="K343:K344" si="61">HYPERLINK("http://twitter.com/download/android","Twitter for Android")</f>
        <v>Twitter for Android</v>
      </c>
      <c r="L343" s="13">
        <v>268</v>
      </c>
      <c r="M343" s="13">
        <v>1161</v>
      </c>
      <c r="N343" s="13">
        <v>10</v>
      </c>
      <c r="O343" s="15"/>
      <c r="P343" s="6">
        <v>40381.63899305556</v>
      </c>
      <c r="Q343" s="16" t="s">
        <v>1486</v>
      </c>
      <c r="R343" s="17" t="s">
        <v>1487</v>
      </c>
      <c r="S343" s="12"/>
      <c r="T343" s="12"/>
      <c r="U343" s="10" t="str">
        <f>HYPERLINK("https://pbs.twimg.com/profile_images/869277256874635264/qtOHCfCm.jpg","View")</f>
        <v>View</v>
      </c>
    </row>
    <row r="344" spans="1:21" ht="51">
      <c r="A344" s="6">
        <v>43442.491932870369</v>
      </c>
      <c r="B344" s="7" t="str">
        <f>HYPERLINK("https://twitter.com/74Rober","@74Rober")</f>
        <v>@74Rober</v>
      </c>
      <c r="C344" s="8" t="s">
        <v>285</v>
      </c>
      <c r="D344" s="9" t="s">
        <v>1488</v>
      </c>
      <c r="E344" s="10" t="str">
        <f>HYPERLINK("https://twitter.com/74Rober/status/1071355805256085504","1071355805256085504")</f>
        <v>1071355805256085504</v>
      </c>
      <c r="F344" s="12"/>
      <c r="G344" s="12"/>
      <c r="H344" s="12"/>
      <c r="I344" s="13">
        <v>0</v>
      </c>
      <c r="J344" s="13">
        <v>0</v>
      </c>
      <c r="K344" s="14" t="str">
        <f t="shared" si="61"/>
        <v>Twitter for Android</v>
      </c>
      <c r="L344" s="13">
        <v>580</v>
      </c>
      <c r="M344" s="13">
        <v>996</v>
      </c>
      <c r="N344" s="13">
        <v>37</v>
      </c>
      <c r="O344" s="15"/>
      <c r="P344" s="6">
        <v>40909.63349537037</v>
      </c>
      <c r="Q344" s="16" t="s">
        <v>1491</v>
      </c>
      <c r="R344" s="17" t="s">
        <v>1492</v>
      </c>
      <c r="S344" s="12"/>
      <c r="T344" s="12"/>
      <c r="U344" s="10" t="str">
        <f>HYPERLINK("https://pbs.twimg.com/profile_images/916457164402720768/uHBd7xac.jpg","View")</f>
        <v>View</v>
      </c>
    </row>
    <row r="345" spans="1:21" ht="30.6">
      <c r="A345" s="6">
        <v>43442.489583333328</v>
      </c>
      <c r="B345" s="7" t="str">
        <f>HYPERLINK("https://twitter.com/consuyanton","@consuyanton")</f>
        <v>@consuyanton</v>
      </c>
      <c r="C345" s="8" t="s">
        <v>1494</v>
      </c>
      <c r="D345" s="9" t="s">
        <v>1495</v>
      </c>
      <c r="E345" s="10" t="str">
        <f>HYPERLINK("https://twitter.com/consuyanton/status/1071354955917914112","1071354955917914112")</f>
        <v>1071354955917914112</v>
      </c>
      <c r="F345" s="12"/>
      <c r="G345" s="11" t="s">
        <v>1496</v>
      </c>
      <c r="H345" s="12"/>
      <c r="I345" s="13">
        <v>1</v>
      </c>
      <c r="J345" s="13">
        <v>0</v>
      </c>
      <c r="K345" s="14" t="str">
        <f t="shared" ref="K345:K346" si="62">HYPERLINK("http://twitter.com","Twitter Web Client")</f>
        <v>Twitter Web Client</v>
      </c>
      <c r="L345" s="13">
        <v>1600</v>
      </c>
      <c r="M345" s="13">
        <v>884</v>
      </c>
      <c r="N345" s="13">
        <v>31</v>
      </c>
      <c r="O345" s="15"/>
      <c r="P345" s="6">
        <v>40456.055844907409</v>
      </c>
      <c r="Q345" s="16" t="s">
        <v>60</v>
      </c>
      <c r="R345" s="17" t="s">
        <v>1497</v>
      </c>
      <c r="S345" s="12"/>
      <c r="T345" s="12"/>
      <c r="U345" s="10" t="str">
        <f>HYPERLINK("https://pbs.twimg.com/profile_images/3023026475/ef1492f264a722b4ed7460342d63233e.jpeg","View")</f>
        <v>View</v>
      </c>
    </row>
    <row r="346" spans="1:21" ht="20.399999999999999">
      <c r="A346" s="6">
        <v>43442.488750000004</v>
      </c>
      <c r="B346" s="7" t="str">
        <f>HYPERLINK("https://twitter.com/gnsht","@gnsht")</f>
        <v>@gnsht</v>
      </c>
      <c r="C346" s="8" t="s">
        <v>1498</v>
      </c>
      <c r="D346" s="9" t="s">
        <v>1499</v>
      </c>
      <c r="E346" s="10" t="str">
        <f>HYPERLINK("https://twitter.com/gnsht/status/1071354652967530497","1071354652967530497")</f>
        <v>1071354652967530497</v>
      </c>
      <c r="F346" s="11" t="s">
        <v>1500</v>
      </c>
      <c r="G346" s="12"/>
      <c r="H346" s="12"/>
      <c r="I346" s="13">
        <v>0</v>
      </c>
      <c r="J346" s="13">
        <v>0</v>
      </c>
      <c r="K346" s="14" t="str">
        <f t="shared" si="62"/>
        <v>Twitter Web Client</v>
      </c>
      <c r="L346" s="13">
        <v>546</v>
      </c>
      <c r="M346" s="13">
        <v>1791</v>
      </c>
      <c r="N346" s="13">
        <v>14</v>
      </c>
      <c r="O346" s="15"/>
      <c r="P346" s="6">
        <v>39412.625775462962</v>
      </c>
      <c r="Q346" s="16" t="s">
        <v>1501</v>
      </c>
      <c r="R346" s="17" t="s">
        <v>1502</v>
      </c>
      <c r="S346" s="12"/>
      <c r="T346" s="12"/>
      <c r="U346" s="10" t="str">
        <f>HYPERLINK("https://pbs.twimg.com/profile_images/38663962/box1.jpg","View")</f>
        <v>View</v>
      </c>
    </row>
    <row r="347" spans="1:21" ht="30.6">
      <c r="A347" s="6">
        <v>43442.486620370371</v>
      </c>
      <c r="B347" s="7" t="str">
        <f>HYPERLINK("https://twitter.com/Mikytoytoy","@Mikytoytoy")</f>
        <v>@Mikytoytoy</v>
      </c>
      <c r="C347" s="8" t="s">
        <v>1503</v>
      </c>
      <c r="D347" s="9" t="s">
        <v>1504</v>
      </c>
      <c r="E347" s="10" t="str">
        <f>HYPERLINK("https://twitter.com/Mikytoytoy/status/1071353878325555200","1071353878325555200")</f>
        <v>1071353878325555200</v>
      </c>
      <c r="F347" s="11" t="s">
        <v>1505</v>
      </c>
      <c r="G347" s="12"/>
      <c r="H347" s="12"/>
      <c r="I347" s="13">
        <v>0</v>
      </c>
      <c r="J347" s="13">
        <v>0</v>
      </c>
      <c r="K347" s="14" t="str">
        <f>HYPERLINK("http://www.facebook.com/twitter","Facebook")</f>
        <v>Facebook</v>
      </c>
      <c r="L347" s="13">
        <v>224</v>
      </c>
      <c r="M347" s="13">
        <v>593</v>
      </c>
      <c r="N347" s="13">
        <v>10</v>
      </c>
      <c r="O347" s="15"/>
      <c r="P347" s="6">
        <v>40188.553842592592</v>
      </c>
      <c r="Q347" s="16" t="s">
        <v>1506</v>
      </c>
      <c r="R347" s="17" t="s">
        <v>1507</v>
      </c>
      <c r="S347" s="11" t="s">
        <v>1508</v>
      </c>
      <c r="T347" s="12"/>
      <c r="U347" s="10" t="str">
        <f>HYPERLINK("https://pbs.twimg.com/profile_images/1069121889782636544/tIqOTAmE.jpg","View")</f>
        <v>View</v>
      </c>
    </row>
    <row r="348" spans="1:21" ht="30.6">
      <c r="A348" s="6">
        <v>43442.486238425925</v>
      </c>
      <c r="B348" s="7" t="str">
        <f>HYPERLINK("https://twitter.com/del_jash","@del_jash")</f>
        <v>@del_jash</v>
      </c>
      <c r="C348" s="8" t="s">
        <v>1509</v>
      </c>
      <c r="D348" s="9" t="s">
        <v>1510</v>
      </c>
      <c r="E348" s="10" t="str">
        <f>HYPERLINK("https://twitter.com/del_jash/status/1071353740660273158","1071353740660273158")</f>
        <v>1071353740660273158</v>
      </c>
      <c r="F348" s="11" t="s">
        <v>1511</v>
      </c>
      <c r="G348" s="12"/>
      <c r="H348" s="12"/>
      <c r="I348" s="13">
        <v>0</v>
      </c>
      <c r="J348" s="13">
        <v>0</v>
      </c>
      <c r="K348" s="14" t="str">
        <f>HYPERLINK("http://twitter.com","Twitter Web Client")</f>
        <v>Twitter Web Client</v>
      </c>
      <c r="L348" s="13">
        <v>250</v>
      </c>
      <c r="M348" s="13">
        <v>217</v>
      </c>
      <c r="N348" s="13">
        <v>9</v>
      </c>
      <c r="O348" s="15"/>
      <c r="P348" s="6">
        <v>41593.501481481479</v>
      </c>
      <c r="Q348" s="12"/>
      <c r="R348" s="23" t="s">
        <v>1512</v>
      </c>
      <c r="S348" s="12"/>
      <c r="T348" s="12"/>
      <c r="U348" s="10" t="str">
        <f>HYPERLINK("https://pbs.twimg.com/profile_images/378800000742583445/7a1ccaffa76e68a014dd0722bfe23ea6.jpeg","View")</f>
        <v>View</v>
      </c>
    </row>
    <row r="349" spans="1:21" ht="30.6">
      <c r="A349" s="6">
        <v>43442.486226851848</v>
      </c>
      <c r="B349" s="7" t="str">
        <f>HYPERLINK("https://twitter.com/caencomonueces","@caencomonueces")</f>
        <v>@caencomonueces</v>
      </c>
      <c r="C349" s="8" t="s">
        <v>1513</v>
      </c>
      <c r="D349" s="9" t="s">
        <v>1514</v>
      </c>
      <c r="E349" s="10" t="str">
        <f>HYPERLINK("https://twitter.com/caencomonueces/status/1071353738110091264","1071353738110091264")</f>
        <v>1071353738110091264</v>
      </c>
      <c r="F349" s="11" t="s">
        <v>246</v>
      </c>
      <c r="G349" s="12"/>
      <c r="H349" s="12"/>
      <c r="I349" s="13">
        <v>0</v>
      </c>
      <c r="J349" s="13">
        <v>0</v>
      </c>
      <c r="K349" s="14" t="str">
        <f t="shared" ref="K349:K350" si="63">HYPERLINK("http://twitter.com/download/android","Twitter for Android")</f>
        <v>Twitter for Android</v>
      </c>
      <c r="L349" s="13">
        <v>646</v>
      </c>
      <c r="M349" s="13">
        <v>1185</v>
      </c>
      <c r="N349" s="13">
        <v>3</v>
      </c>
      <c r="O349" s="15"/>
      <c r="P349" s="6">
        <v>41242.801539351851</v>
      </c>
      <c r="Q349" s="16" t="s">
        <v>119</v>
      </c>
      <c r="R349" s="17" t="s">
        <v>1516</v>
      </c>
      <c r="S349" s="12"/>
      <c r="T349" s="12"/>
      <c r="U349" s="10" t="str">
        <f>HYPERLINK("https://pbs.twimg.com/profile_images/802542076420378628/S_52YFJA.jpg","View")</f>
        <v>View</v>
      </c>
    </row>
    <row r="350" spans="1:21" ht="40.799999999999997">
      <c r="A350" s="6">
        <v>43442.483888888892</v>
      </c>
      <c r="B350" s="7" t="str">
        <f>HYPERLINK("https://twitter.com/yerayhonrado","@yerayhonrado")</f>
        <v>@yerayhonrado</v>
      </c>
      <c r="C350" s="8" t="s">
        <v>1517</v>
      </c>
      <c r="D350" s="9" t="s">
        <v>1518</v>
      </c>
      <c r="E350" s="10" t="str">
        <f>HYPERLINK("https://twitter.com/yerayhonrado/status/1071352888541220865","1071352888541220865")</f>
        <v>1071352888541220865</v>
      </c>
      <c r="F350" s="16" t="s">
        <v>1519</v>
      </c>
      <c r="G350" s="12"/>
      <c r="H350" s="12"/>
      <c r="I350" s="13">
        <v>0</v>
      </c>
      <c r="J350" s="13">
        <v>1</v>
      </c>
      <c r="K350" s="14" t="str">
        <f t="shared" si="63"/>
        <v>Twitter for Android</v>
      </c>
      <c r="L350" s="13">
        <v>1729</v>
      </c>
      <c r="M350" s="13">
        <v>4569</v>
      </c>
      <c r="N350" s="13">
        <v>12</v>
      </c>
      <c r="O350" s="15"/>
      <c r="P350" s="6">
        <v>41127.644120370373</v>
      </c>
      <c r="Q350" s="16" t="s">
        <v>60</v>
      </c>
      <c r="R350" s="17" t="s">
        <v>1520</v>
      </c>
      <c r="S350" s="12"/>
      <c r="T350" s="12"/>
      <c r="U350" s="10" t="str">
        <f>HYPERLINK("https://pbs.twimg.com/profile_images/1028391404807106560/bzZ9WGW9.jpg","View")</f>
        <v>View</v>
      </c>
    </row>
    <row r="351" spans="1:21" ht="20.399999999999999">
      <c r="A351" s="6">
        <v>43442.48369212963</v>
      </c>
      <c r="B351" s="7" t="str">
        <f>HYPERLINK("https://twitter.com/FJDomingo","@FJDomingo")</f>
        <v>@FJDomingo</v>
      </c>
      <c r="C351" s="8" t="s">
        <v>1521</v>
      </c>
      <c r="D351" s="9" t="s">
        <v>1522</v>
      </c>
      <c r="E351" s="10" t="str">
        <f>HYPERLINK("https://twitter.com/FJDomingo/status/1071352820169957376","1071352820169957376")</f>
        <v>1071352820169957376</v>
      </c>
      <c r="F351" s="12"/>
      <c r="G351" s="12"/>
      <c r="H351" s="12"/>
      <c r="I351" s="13">
        <v>0</v>
      </c>
      <c r="J351" s="13">
        <v>0</v>
      </c>
      <c r="K351" s="14" t="str">
        <f>HYPERLINK("http://twitter.com","Twitter Web Client")</f>
        <v>Twitter Web Client</v>
      </c>
      <c r="L351" s="13">
        <v>292</v>
      </c>
      <c r="M351" s="13">
        <v>542</v>
      </c>
      <c r="N351" s="13">
        <v>8</v>
      </c>
      <c r="O351" s="15"/>
      <c r="P351" s="6">
        <v>40803.64130787037</v>
      </c>
      <c r="Q351" s="16" t="s">
        <v>60</v>
      </c>
      <c r="R351" s="17" t="s">
        <v>1523</v>
      </c>
      <c r="S351" s="12"/>
      <c r="T351" s="12"/>
      <c r="U351" s="10" t="str">
        <f>HYPERLINK("https://pbs.twimg.com/profile_images/707249729319669761/qWqiBM4j.jpg","View")</f>
        <v>View</v>
      </c>
    </row>
    <row r="352" spans="1:21" ht="40.799999999999997">
      <c r="A352" s="6">
        <v>43442.483078703706</v>
      </c>
      <c r="B352" s="7" t="str">
        <f>HYPERLINK("https://twitter.com/MONTESQUIEU1956","@MONTESQUIEU1956")</f>
        <v>@MONTESQUIEU1956</v>
      </c>
      <c r="C352" s="8" t="s">
        <v>983</v>
      </c>
      <c r="D352" s="9" t="s">
        <v>1524</v>
      </c>
      <c r="E352" s="10" t="str">
        <f>HYPERLINK("https://twitter.com/MONTESQUIEU1956/status/1071352597309722624","1071352597309722624")</f>
        <v>1071352597309722624</v>
      </c>
      <c r="F352" s="11" t="s">
        <v>115</v>
      </c>
      <c r="G352" s="12"/>
      <c r="H352" s="12"/>
      <c r="I352" s="13">
        <v>0</v>
      </c>
      <c r="J352" s="13">
        <v>0</v>
      </c>
      <c r="K352" s="14" t="str">
        <f>HYPERLINK("http://www.facebook.com/twitter","Facebook")</f>
        <v>Facebook</v>
      </c>
      <c r="L352" s="13">
        <v>17058</v>
      </c>
      <c r="M352" s="13">
        <v>18542</v>
      </c>
      <c r="N352" s="13">
        <v>499</v>
      </c>
      <c r="O352" s="15"/>
      <c r="P352" s="6">
        <v>40349.826168981483</v>
      </c>
      <c r="Q352" s="16" t="s">
        <v>987</v>
      </c>
      <c r="R352" s="17" t="s">
        <v>988</v>
      </c>
      <c r="S352" s="11" t="s">
        <v>989</v>
      </c>
      <c r="T352" s="12"/>
      <c r="U352" s="10" t="str">
        <f>HYPERLINK("https://pbs.twimg.com/profile_images/1261600286/MONTESQUIEU.jpg","View")</f>
        <v>View</v>
      </c>
    </row>
    <row r="353" spans="1:21" ht="30.6">
      <c r="A353" s="6">
        <v>43442.48055555555</v>
      </c>
      <c r="B353" s="7" t="str">
        <f>HYPERLINK("https://twitter.com/elEconomistaes","@elEconomistaes")</f>
        <v>@elEconomistaes</v>
      </c>
      <c r="C353" s="20" t="s">
        <v>1525</v>
      </c>
      <c r="D353" s="9" t="s">
        <v>1526</v>
      </c>
      <c r="E353" s="10" t="str">
        <f>HYPERLINK("https://twitter.com/elEconomistaes/status/1071351681827397632","1071351681827397632")</f>
        <v>1071351681827397632</v>
      </c>
      <c r="F353" s="11" t="s">
        <v>1527</v>
      </c>
      <c r="G353" s="12"/>
      <c r="H353" s="12"/>
      <c r="I353" s="13">
        <v>1</v>
      </c>
      <c r="J353" s="13">
        <v>0</v>
      </c>
      <c r="K353" s="14" t="str">
        <f>HYPERLINK("https://about.twitter.com/products/tweetdeck","TweetDeck")</f>
        <v>TweetDeck</v>
      </c>
      <c r="L353" s="13">
        <v>656089</v>
      </c>
      <c r="M353" s="13">
        <v>382</v>
      </c>
      <c r="N353" s="13">
        <v>8764</v>
      </c>
      <c r="O353" s="18" t="s">
        <v>41</v>
      </c>
      <c r="P353" s="6">
        <v>40373.48164351852</v>
      </c>
      <c r="Q353" s="12"/>
      <c r="R353" s="17" t="s">
        <v>1529</v>
      </c>
      <c r="S353" s="11" t="s">
        <v>1530</v>
      </c>
      <c r="T353" s="12"/>
      <c r="U353" s="10" t="str">
        <f>HYPERLINK("https://pbs.twimg.com/profile_images/899527230833012736/uMjGoE60.jpg","View")</f>
        <v>View</v>
      </c>
    </row>
    <row r="354" spans="1:21" ht="71.400000000000006">
      <c r="A354" s="6">
        <v>43442.480138888888</v>
      </c>
      <c r="B354" s="7" t="str">
        <f>HYPERLINK("https://twitter.com/vozdecatalanes","@vozdecatalanes")</f>
        <v>@vozdecatalanes</v>
      </c>
      <c r="C354" s="8" t="s">
        <v>727</v>
      </c>
      <c r="D354" s="9" t="s">
        <v>1531</v>
      </c>
      <c r="E354" s="10" t="str">
        <f>HYPERLINK("https://twitter.com/vozdecatalanes/status/1071351529754505216","1071351529754505216")</f>
        <v>1071351529754505216</v>
      </c>
      <c r="F354" s="11" t="s">
        <v>1532</v>
      </c>
      <c r="G354" s="12"/>
      <c r="H354" s="12"/>
      <c r="I354" s="13">
        <v>1</v>
      </c>
      <c r="J354" s="13">
        <v>2</v>
      </c>
      <c r="K354" s="14" t="str">
        <f>HYPERLINK("http://twitter.com/download/android","Twitter for Android")</f>
        <v>Twitter for Android</v>
      </c>
      <c r="L354" s="13">
        <v>4512</v>
      </c>
      <c r="M354" s="13">
        <v>3243</v>
      </c>
      <c r="N354" s="13">
        <v>57</v>
      </c>
      <c r="O354" s="15"/>
      <c r="P354" s="6">
        <v>42406.067476851851</v>
      </c>
      <c r="Q354" s="16" t="s">
        <v>87</v>
      </c>
      <c r="R354" s="17" t="s">
        <v>729</v>
      </c>
      <c r="S354" s="12"/>
      <c r="T354" s="12"/>
      <c r="U354" s="10" t="str">
        <f>HYPERLINK("https://pbs.twimg.com/profile_images/725079750570573824/-Ja81_U1.jpg","View")</f>
        <v>View</v>
      </c>
    </row>
    <row r="355" spans="1:21" ht="40.799999999999997">
      <c r="A355" s="6">
        <v>43442.479166666672</v>
      </c>
      <c r="B355" s="7" t="str">
        <f>HYPERLINK("https://twitter.com/don_Diario","@don_Diario")</f>
        <v>@don_Diario</v>
      </c>
      <c r="C355" s="20" t="s">
        <v>72</v>
      </c>
      <c r="D355" s="9" t="s">
        <v>75</v>
      </c>
      <c r="E355" s="10" t="str">
        <f>HYPERLINK("https://twitter.com/don_Diario/status/1071351178284326912","1071351178284326912")</f>
        <v>1071351178284326912</v>
      </c>
      <c r="F355" s="11" t="s">
        <v>76</v>
      </c>
      <c r="G355" s="11" t="s">
        <v>78</v>
      </c>
      <c r="H355" s="12"/>
      <c r="I355" s="13">
        <v>0</v>
      </c>
      <c r="J355" s="13">
        <v>0</v>
      </c>
      <c r="K355" s="14" t="str">
        <f>HYPERLINK("https://about.twitter.com/products/tweetdeck","TweetDeck")</f>
        <v>TweetDeck</v>
      </c>
      <c r="L355" s="13">
        <v>47715</v>
      </c>
      <c r="M355" s="13">
        <v>92</v>
      </c>
      <c r="N355" s="13">
        <v>1334</v>
      </c>
      <c r="O355" s="15"/>
      <c r="P355" s="6">
        <v>39911.462465277778</v>
      </c>
      <c r="Q355" s="16" t="s">
        <v>60</v>
      </c>
      <c r="R355" s="17" t="s">
        <v>79</v>
      </c>
      <c r="S355" s="11" t="s">
        <v>80</v>
      </c>
      <c r="T355" s="12"/>
      <c r="U355" s="10" t="str">
        <f>HYPERLINK("https://pbs.twimg.com/profile_images/1048140162247675904/sLf5W_y0.jpg","View")</f>
        <v>View</v>
      </c>
    </row>
    <row r="356" spans="1:21" ht="40.799999999999997">
      <c r="A356" s="6">
        <v>43442.478680555556</v>
      </c>
      <c r="B356" s="7" t="str">
        <f>HYPERLINK("https://twitter.com/FJVillalvilla","@FJVillalvilla")</f>
        <v>@FJVillalvilla</v>
      </c>
      <c r="C356" s="8" t="s">
        <v>1533</v>
      </c>
      <c r="D356" s="9" t="s">
        <v>1534</v>
      </c>
      <c r="E356" s="10" t="str">
        <f>HYPERLINK("https://twitter.com/FJVillalvilla/status/1071351002597601283","1071351002597601283")</f>
        <v>1071351002597601283</v>
      </c>
      <c r="F356" s="11" t="s">
        <v>1535</v>
      </c>
      <c r="G356" s="12"/>
      <c r="H356" s="12"/>
      <c r="I356" s="13">
        <v>0</v>
      </c>
      <c r="J356" s="13">
        <v>0</v>
      </c>
      <c r="K356" s="14" t="str">
        <f t="shared" ref="K356:K357" si="64">HYPERLINK("http://twitter.com","Twitter Web Client")</f>
        <v>Twitter Web Client</v>
      </c>
      <c r="L356" s="13">
        <v>1413</v>
      </c>
      <c r="M356" s="13">
        <v>1244</v>
      </c>
      <c r="N356" s="13">
        <v>71</v>
      </c>
      <c r="O356" s="15"/>
      <c r="P356" s="6">
        <v>40646.738877314812</v>
      </c>
      <c r="Q356" s="16" t="s">
        <v>1536</v>
      </c>
      <c r="R356" s="17" t="s">
        <v>1537</v>
      </c>
      <c r="S356" s="12"/>
      <c r="T356" s="12"/>
      <c r="U356" s="10" t="str">
        <f>HYPERLINK("https://pbs.twimg.com/profile_images/1002896281553993728/-dwfjt-O.jpg","View")</f>
        <v>View</v>
      </c>
    </row>
    <row r="357" spans="1:21" ht="30.6">
      <c r="A357" s="6">
        <v>43442.477800925924</v>
      </c>
      <c r="B357" s="7" t="str">
        <f>HYPERLINK("https://twitter.com/javier_larequi","@javier_larequi")</f>
        <v>@javier_larequi</v>
      </c>
      <c r="C357" s="8" t="s">
        <v>1538</v>
      </c>
      <c r="D357" s="9" t="s">
        <v>1539</v>
      </c>
      <c r="E357" s="10" t="str">
        <f>HYPERLINK("https://twitter.com/javier_larequi/status/1071350685734748160","1071350685734748160")</f>
        <v>1071350685734748160</v>
      </c>
      <c r="F357" s="11" t="s">
        <v>1540</v>
      </c>
      <c r="G357" s="12"/>
      <c r="H357" s="12"/>
      <c r="I357" s="13">
        <v>0</v>
      </c>
      <c r="J357" s="13">
        <v>0</v>
      </c>
      <c r="K357" s="14" t="str">
        <f t="shared" si="64"/>
        <v>Twitter Web Client</v>
      </c>
      <c r="L357" s="13">
        <v>490</v>
      </c>
      <c r="M357" s="13">
        <v>930</v>
      </c>
      <c r="N357" s="13">
        <v>7</v>
      </c>
      <c r="O357" s="15"/>
      <c r="P357" s="6">
        <v>40973.670636574076</v>
      </c>
      <c r="Q357" s="16" t="s">
        <v>1541</v>
      </c>
      <c r="R357" s="17" t="s">
        <v>1542</v>
      </c>
      <c r="S357" s="11" t="s">
        <v>1543</v>
      </c>
      <c r="T357" s="12"/>
      <c r="U357" s="10" t="str">
        <f>HYPERLINK("https://pbs.twimg.com/profile_images/818561503175606272/cN2XGttT.jpg","View")</f>
        <v>View</v>
      </c>
    </row>
    <row r="358" spans="1:21" ht="30.6">
      <c r="A358" s="6">
        <v>43442.475694444445</v>
      </c>
      <c r="B358" s="7" t="str">
        <f>HYPERLINK("https://twitter.com/bolsamania","@bolsamania")</f>
        <v>@bolsamania</v>
      </c>
      <c r="C358" s="8" t="s">
        <v>1544</v>
      </c>
      <c r="D358" s="9" t="s">
        <v>1545</v>
      </c>
      <c r="E358" s="10" t="str">
        <f>HYPERLINK("https://twitter.com/bolsamania/status/1071349920169365504","1071349920169365504")</f>
        <v>1071349920169365504</v>
      </c>
      <c r="F358" s="12"/>
      <c r="G358" s="11" t="s">
        <v>1546</v>
      </c>
      <c r="H358" s="12"/>
      <c r="I358" s="13">
        <v>0</v>
      </c>
      <c r="J358" s="13">
        <v>1</v>
      </c>
      <c r="K358" s="14" t="str">
        <f>HYPERLINK("https://studio.twitter.com","Twitter Media Studio")</f>
        <v>Twitter Media Studio</v>
      </c>
      <c r="L358" s="13">
        <v>40159</v>
      </c>
      <c r="M358" s="13">
        <v>388</v>
      </c>
      <c r="N358" s="13">
        <v>1495</v>
      </c>
      <c r="O358" s="18" t="s">
        <v>41</v>
      </c>
      <c r="P358" s="6">
        <v>40023.9996412037</v>
      </c>
      <c r="Q358" s="16" t="s">
        <v>200</v>
      </c>
      <c r="R358" s="17" t="s">
        <v>1547</v>
      </c>
      <c r="S358" s="11" t="s">
        <v>1548</v>
      </c>
      <c r="T358" s="12"/>
      <c r="U358" s="10" t="str">
        <f>HYPERLINK("https://pbs.twimg.com/profile_images/875625319259971585/-BMlE8xr.jpg","View")</f>
        <v>View</v>
      </c>
    </row>
    <row r="359" spans="1:21" ht="40.799999999999997">
      <c r="A359" s="6">
        <v>43442.475092592591</v>
      </c>
      <c r="B359" s="7" t="str">
        <f>HYPERLINK("https://twitter.com/aybarrapacheco","@aybarrapacheco")</f>
        <v>@aybarrapacheco</v>
      </c>
      <c r="C359" s="8" t="s">
        <v>1549</v>
      </c>
      <c r="D359" s="9" t="s">
        <v>1550</v>
      </c>
      <c r="E359" s="10" t="str">
        <f>HYPERLINK("https://twitter.com/aybarrapacheco/status/1071349704661848064","1071349704661848064")</f>
        <v>1071349704661848064</v>
      </c>
      <c r="F359" s="12"/>
      <c r="G359" s="12"/>
      <c r="H359" s="12"/>
      <c r="I359" s="13">
        <v>16</v>
      </c>
      <c r="J359" s="13">
        <v>10</v>
      </c>
      <c r="K359" s="14" t="str">
        <f>HYPERLINK("http://twitter.com/#!/download/ipad","Twitter for iPad")</f>
        <v>Twitter for iPad</v>
      </c>
      <c r="L359" s="13">
        <v>13169</v>
      </c>
      <c r="M359" s="13">
        <v>1933</v>
      </c>
      <c r="N359" s="13">
        <v>324</v>
      </c>
      <c r="O359" s="15"/>
      <c r="P359" s="6">
        <v>40701.571886574078</v>
      </c>
      <c r="Q359" s="16" t="s">
        <v>367</v>
      </c>
      <c r="R359" s="17" t="s">
        <v>1551</v>
      </c>
      <c r="S359" s="11" t="s">
        <v>1552</v>
      </c>
      <c r="T359" s="12"/>
      <c r="U359" s="10" t="str">
        <f>HYPERLINK("https://pbs.twimg.com/profile_images/1386037489/image.jpg","View")</f>
        <v>View</v>
      </c>
    </row>
    <row r="360" spans="1:21" ht="40.799999999999997">
      <c r="A360" s="6">
        <v>43442.473738425921</v>
      </c>
      <c r="B360" s="7" t="str">
        <f>HYPERLINK("https://twitter.com/elsofistaquefui","@elsofistaquefui")</f>
        <v>@elsofistaquefui</v>
      </c>
      <c r="C360" s="8" t="s">
        <v>350</v>
      </c>
      <c r="D360" s="9" t="s">
        <v>1553</v>
      </c>
      <c r="E360" s="10" t="str">
        <f>HYPERLINK("https://twitter.com/elsofistaquefui/status/1071349211441127424","1071349211441127424")</f>
        <v>1071349211441127424</v>
      </c>
      <c r="F360" s="11" t="s">
        <v>1554</v>
      </c>
      <c r="G360" s="12"/>
      <c r="H360" s="12"/>
      <c r="I360" s="13">
        <v>0</v>
      </c>
      <c r="J360" s="13">
        <v>0</v>
      </c>
      <c r="K360" s="14" t="str">
        <f t="shared" ref="K360:K361" si="65">HYPERLINK("http://twitter.com/download/android","Twitter for Android")</f>
        <v>Twitter for Android</v>
      </c>
      <c r="L360" s="13">
        <v>348</v>
      </c>
      <c r="M360" s="13">
        <v>802</v>
      </c>
      <c r="N360" s="13">
        <v>7</v>
      </c>
      <c r="O360" s="15"/>
      <c r="P360" s="6">
        <v>40964.864479166667</v>
      </c>
      <c r="Q360" s="12"/>
      <c r="R360" s="17" t="s">
        <v>352</v>
      </c>
      <c r="S360" s="12"/>
      <c r="T360" s="12"/>
      <c r="U360" s="10" t="str">
        <f>HYPERLINK("https://pbs.twimg.com/profile_images/1052680359769501696/iPSjr18Z.jpg","View")</f>
        <v>View</v>
      </c>
    </row>
    <row r="361" spans="1:21" ht="40.799999999999997">
      <c r="A361" s="6">
        <v>43442.472800925927</v>
      </c>
      <c r="B361" s="7" t="str">
        <f>HYPERLINK("https://twitter.com/Tururuch","@Tururuch")</f>
        <v>@Tururuch</v>
      </c>
      <c r="C361" s="8" t="s">
        <v>1555</v>
      </c>
      <c r="D361" s="9" t="s">
        <v>1556</v>
      </c>
      <c r="E361" s="10" t="str">
        <f>HYPERLINK("https://twitter.com/Tururuch/status/1071348870892933121","1071348870892933121")</f>
        <v>1071348870892933121</v>
      </c>
      <c r="F361" s="12"/>
      <c r="G361" s="12"/>
      <c r="H361" s="12"/>
      <c r="I361" s="13">
        <v>0</v>
      </c>
      <c r="J361" s="13">
        <v>0</v>
      </c>
      <c r="K361" s="14" t="str">
        <f t="shared" si="65"/>
        <v>Twitter for Android</v>
      </c>
      <c r="L361" s="13">
        <v>18</v>
      </c>
      <c r="M361" s="13">
        <v>122</v>
      </c>
      <c r="N361" s="13">
        <v>0</v>
      </c>
      <c r="O361" s="15"/>
      <c r="P361" s="6">
        <v>42729.462199074071</v>
      </c>
      <c r="Q361" s="12"/>
      <c r="R361" s="19"/>
      <c r="S361" s="12"/>
      <c r="T361" s="12"/>
      <c r="U361" s="18" t="s">
        <v>67</v>
      </c>
    </row>
    <row r="362" spans="1:21" ht="20.399999999999999">
      <c r="A362" s="6">
        <v>43442.472025462965</v>
      </c>
      <c r="B362" s="7" t="str">
        <f>HYPERLINK("https://twitter.com/Feliastur","@Feliastur")</f>
        <v>@Feliastur</v>
      </c>
      <c r="C362" s="8" t="s">
        <v>1557</v>
      </c>
      <c r="D362" s="9" t="s">
        <v>1558</v>
      </c>
      <c r="E362" s="10" t="str">
        <f>HYPERLINK("https://twitter.com/Feliastur/status/1071348591971758081","1071348591971758081")</f>
        <v>1071348591971758081</v>
      </c>
      <c r="F362" s="12"/>
      <c r="G362" s="12"/>
      <c r="H362" s="12"/>
      <c r="I362" s="13">
        <v>0</v>
      </c>
      <c r="J362" s="13">
        <v>0</v>
      </c>
      <c r="K362" s="14" t="str">
        <f>HYPERLINK("https://mobile.twitter.com","Mobile Web (M2)")</f>
        <v>Mobile Web (M2)</v>
      </c>
      <c r="L362" s="13">
        <v>279</v>
      </c>
      <c r="M362" s="13">
        <v>414</v>
      </c>
      <c r="N362" s="13">
        <v>2</v>
      </c>
      <c r="O362" s="15"/>
      <c r="P362" s="6">
        <v>40740.988576388889</v>
      </c>
      <c r="Q362" s="16" t="s">
        <v>1560</v>
      </c>
      <c r="R362" s="17" t="s">
        <v>1561</v>
      </c>
      <c r="S362" s="12"/>
      <c r="T362" s="12"/>
      <c r="U362" s="10" t="str">
        <f>HYPERLINK("https://pbs.twimg.com/profile_images/1016429478971629578/ch5HmZfZ.jpg","View")</f>
        <v>View</v>
      </c>
    </row>
    <row r="363" spans="1:21" ht="51">
      <c r="A363" s="6">
        <v>43442.471956018519</v>
      </c>
      <c r="B363" s="7" t="str">
        <f>HYPERLINK("https://twitter.com/OrbitaEduardo","@OrbitaEduardo")</f>
        <v>@OrbitaEduardo</v>
      </c>
      <c r="C363" s="8" t="s">
        <v>1562</v>
      </c>
      <c r="D363" s="9" t="s">
        <v>1563</v>
      </c>
      <c r="E363" s="10" t="str">
        <f>HYPERLINK("https://twitter.com/OrbitaEduardo/status/1071348566969458688","1071348566969458688")</f>
        <v>1071348566969458688</v>
      </c>
      <c r="F363" s="12"/>
      <c r="G363" s="11" t="s">
        <v>1564</v>
      </c>
      <c r="H363" s="12"/>
      <c r="I363" s="13">
        <v>4</v>
      </c>
      <c r="J363" s="13">
        <v>5</v>
      </c>
      <c r="K363" s="14" t="str">
        <f>HYPERLINK("http://twitter.com/download/android","Twitter for Android")</f>
        <v>Twitter for Android</v>
      </c>
      <c r="L363" s="13">
        <v>4524</v>
      </c>
      <c r="M363" s="13">
        <v>4948</v>
      </c>
      <c r="N363" s="13">
        <v>13</v>
      </c>
      <c r="O363" s="15"/>
      <c r="P363" s="6">
        <v>43110.374305555553</v>
      </c>
      <c r="Q363" s="16" t="s">
        <v>1073</v>
      </c>
      <c r="R363" s="17" t="s">
        <v>1565</v>
      </c>
      <c r="S363" s="12"/>
      <c r="T363" s="12"/>
      <c r="U363" s="10" t="str">
        <f>HYPERLINK("https://pbs.twimg.com/profile_images/1034013666600001538/MmqVJqFc.jpg","View")</f>
        <v>View</v>
      </c>
    </row>
    <row r="364" spans="1:21" ht="40.799999999999997">
      <c r="A364" s="6">
        <v>43442.471168981487</v>
      </c>
      <c r="B364" s="7" t="str">
        <f>HYPERLINK("https://twitter.com/make_javier","@make_javier")</f>
        <v>@make_javier</v>
      </c>
      <c r="C364" s="8" t="s">
        <v>1567</v>
      </c>
      <c r="D364" s="9" t="s">
        <v>1568</v>
      </c>
      <c r="E364" s="10" t="str">
        <f>HYPERLINK("https://twitter.com/make_javier/status/1071348279781281792","1071348279781281792")</f>
        <v>1071348279781281792</v>
      </c>
      <c r="F364" s="12"/>
      <c r="G364" s="12"/>
      <c r="H364" s="12"/>
      <c r="I364" s="13">
        <v>1</v>
      </c>
      <c r="J364" s="13">
        <v>1</v>
      </c>
      <c r="K364" s="14" t="str">
        <f>HYPERLINK("https://mobile.twitter.com","Twitter Lite")</f>
        <v>Twitter Lite</v>
      </c>
      <c r="L364" s="13">
        <v>2</v>
      </c>
      <c r="M364" s="13">
        <v>5</v>
      </c>
      <c r="N364" s="13">
        <v>0</v>
      </c>
      <c r="O364" s="15"/>
      <c r="P364" s="6">
        <v>43388.828148148154</v>
      </c>
      <c r="Q364" s="12"/>
      <c r="R364" s="19"/>
      <c r="S364" s="12"/>
      <c r="T364" s="12"/>
      <c r="U364" s="10" t="str">
        <f>HYPERLINK("https://pbs.twimg.com/profile_images/1051895230679670789/MD6eimeJ.jpg","View")</f>
        <v>View</v>
      </c>
    </row>
    <row r="365" spans="1:21" ht="30.6">
      <c r="A365" s="6">
        <v>43442.470231481479</v>
      </c>
      <c r="B365" s="7" t="str">
        <f>HYPERLINK("https://twitter.com/AIC_Angelir","@AIC_Angelir")</f>
        <v>@AIC_Angelir</v>
      </c>
      <c r="C365" s="8" t="s">
        <v>1457</v>
      </c>
      <c r="D365" s="9" t="s">
        <v>1458</v>
      </c>
      <c r="E365" s="10" t="str">
        <f>HYPERLINK("https://twitter.com/AIC_Angelir/status/1071347940491493376","1071347940491493376")</f>
        <v>1071347940491493376</v>
      </c>
      <c r="F365" s="16" t="s">
        <v>1459</v>
      </c>
      <c r="G365" s="11" t="s">
        <v>1570</v>
      </c>
      <c r="H365" s="12"/>
      <c r="I365" s="13">
        <v>0</v>
      </c>
      <c r="J365" s="13">
        <v>0</v>
      </c>
      <c r="K365" s="14" t="str">
        <f>HYPERLINK("http://twitter.com","Twitter Web Client")</f>
        <v>Twitter Web Client</v>
      </c>
      <c r="L365" s="13">
        <v>74</v>
      </c>
      <c r="M365" s="13">
        <v>4276</v>
      </c>
      <c r="N365" s="13">
        <v>0</v>
      </c>
      <c r="O365" s="15"/>
      <c r="P365" s="6">
        <v>41119.516828703701</v>
      </c>
      <c r="Q365" s="16" t="s">
        <v>1461</v>
      </c>
      <c r="R365" s="17" t="s">
        <v>1462</v>
      </c>
      <c r="S365" s="11" t="s">
        <v>1463</v>
      </c>
      <c r="T365" s="12"/>
      <c r="U365" s="10" t="str">
        <f>HYPERLINK("https://pbs.twimg.com/profile_images/755053183160971264/AxHi4uss.jpg","View")</f>
        <v>View</v>
      </c>
    </row>
    <row r="366" spans="1:21" ht="30.6">
      <c r="A366" s="6">
        <v>43442.46947916667</v>
      </c>
      <c r="B366" s="7" t="str">
        <f>HYPERLINK("https://twitter.com/CatalaEsceptic","@CatalaEsceptic")</f>
        <v>@CatalaEsceptic</v>
      </c>
      <c r="C366" s="8" t="s">
        <v>1571</v>
      </c>
      <c r="D366" s="9" t="s">
        <v>1572</v>
      </c>
      <c r="E366" s="10" t="str">
        <f>HYPERLINK("https://twitter.com/CatalaEsceptic/status/1071347667404492801","1071347667404492801")</f>
        <v>1071347667404492801</v>
      </c>
      <c r="F366" s="11" t="s">
        <v>1573</v>
      </c>
      <c r="G366" s="12"/>
      <c r="H366" s="12"/>
      <c r="I366" s="13">
        <v>0</v>
      </c>
      <c r="J366" s="13">
        <v>0</v>
      </c>
      <c r="K366" s="14" t="str">
        <f t="shared" ref="K366:K367" si="66">HYPERLINK("http://twitter.com/download/android","Twitter for Android")</f>
        <v>Twitter for Android</v>
      </c>
      <c r="L366" s="13">
        <v>526</v>
      </c>
      <c r="M366" s="13">
        <v>105</v>
      </c>
      <c r="N366" s="13">
        <v>5</v>
      </c>
      <c r="O366" s="15"/>
      <c r="P366" s="6">
        <v>43041.307916666672</v>
      </c>
      <c r="Q366" s="16" t="s">
        <v>1574</v>
      </c>
      <c r="R366" s="17" t="s">
        <v>1575</v>
      </c>
      <c r="S366" s="12"/>
      <c r="T366" s="12"/>
      <c r="U366" s="10" t="str">
        <f>HYPERLINK("https://pbs.twimg.com/profile_images/983624764500729856/CuVAPCDz.jpg","View")</f>
        <v>View</v>
      </c>
    </row>
    <row r="367" spans="1:21" ht="40.799999999999997">
      <c r="A367" s="6">
        <v>43442.468206018515</v>
      </c>
      <c r="B367" s="7" t="str">
        <f>HYPERLINK("https://twitter.com/TancredoFogarty","@TancredoFogarty")</f>
        <v>@TancredoFogarty</v>
      </c>
      <c r="C367" s="8" t="s">
        <v>1576</v>
      </c>
      <c r="D367" s="9" t="s">
        <v>1577</v>
      </c>
      <c r="E367" s="10" t="str">
        <f>HYPERLINK("https://twitter.com/TancredoFogarty/status/1071347207692054528","1071347207692054528")</f>
        <v>1071347207692054528</v>
      </c>
      <c r="F367" s="12"/>
      <c r="G367" s="12"/>
      <c r="H367" s="12"/>
      <c r="I367" s="13">
        <v>0</v>
      </c>
      <c r="J367" s="13">
        <v>0</v>
      </c>
      <c r="K367" s="14" t="str">
        <f t="shared" si="66"/>
        <v>Twitter for Android</v>
      </c>
      <c r="L367" s="13">
        <v>96</v>
      </c>
      <c r="M367" s="13">
        <v>33</v>
      </c>
      <c r="N367" s="13">
        <v>6</v>
      </c>
      <c r="O367" s="15"/>
      <c r="P367" s="6">
        <v>41157.591597222221</v>
      </c>
      <c r="Q367" s="16" t="s">
        <v>1578</v>
      </c>
      <c r="R367" s="17" t="s">
        <v>1579</v>
      </c>
      <c r="S367" s="11" t="s">
        <v>1580</v>
      </c>
      <c r="T367" s="12"/>
      <c r="U367" s="10" t="str">
        <f>HYPERLINK("https://pbs.twimg.com/profile_images/668774045157072896/i5oabqhM.jpg","View")</f>
        <v>View</v>
      </c>
    </row>
    <row r="368" spans="1:21" ht="30.6">
      <c r="A368" s="6">
        <v>43442.466724537036</v>
      </c>
      <c r="B368" s="7" t="str">
        <f>HYPERLINK("https://twitter.com/okdiario","@okdiario")</f>
        <v>@okdiario</v>
      </c>
      <c r="C368" s="8" t="s">
        <v>1581</v>
      </c>
      <c r="D368" s="9" t="s">
        <v>1582</v>
      </c>
      <c r="E368" s="10" t="str">
        <f>HYPERLINK("https://twitter.com/okdiario/status/1071346670342934529","1071346670342934529")</f>
        <v>1071346670342934529</v>
      </c>
      <c r="F368" s="11" t="s">
        <v>1583</v>
      </c>
      <c r="G368" s="12"/>
      <c r="H368" s="12"/>
      <c r="I368" s="13">
        <v>37</v>
      </c>
      <c r="J368" s="13">
        <v>26</v>
      </c>
      <c r="K368" s="14" t="str">
        <f>HYPERLINK("https://www.echobox.com","Echobox Social")</f>
        <v>Echobox Social</v>
      </c>
      <c r="L368" s="13">
        <v>112413</v>
      </c>
      <c r="M368" s="13">
        <v>343</v>
      </c>
      <c r="N368" s="13">
        <v>1440</v>
      </c>
      <c r="O368" s="18" t="s">
        <v>41</v>
      </c>
      <c r="P368" s="6">
        <v>42241.708229166667</v>
      </c>
      <c r="Q368" s="12"/>
      <c r="R368" s="17" t="s">
        <v>1584</v>
      </c>
      <c r="S368" s="11" t="s">
        <v>1585</v>
      </c>
      <c r="T368" s="12"/>
      <c r="U368" s="10" t="str">
        <f>HYPERLINK("https://pbs.twimg.com/profile_images/789113773697208320/3LvFvi8Q.jpg","View")</f>
        <v>View</v>
      </c>
    </row>
    <row r="369" spans="1:21" ht="40.799999999999997">
      <c r="A369" s="6">
        <v>43442.46607638889</v>
      </c>
      <c r="B369" s="7" t="str">
        <f>HYPERLINK("https://twitter.com/juansalgadoigu","@juansalgadoigu")</f>
        <v>@juansalgadoigu</v>
      </c>
      <c r="C369" s="8" t="s">
        <v>424</v>
      </c>
      <c r="D369" s="9" t="s">
        <v>1587</v>
      </c>
      <c r="E369" s="10" t="str">
        <f>HYPERLINK("https://twitter.com/juansalgadoigu/status/1071346436590178304","1071346436590178304")</f>
        <v>1071346436590178304</v>
      </c>
      <c r="F369" s="11" t="s">
        <v>1588</v>
      </c>
      <c r="G369" s="12"/>
      <c r="H369" s="12"/>
      <c r="I369" s="13">
        <v>0</v>
      </c>
      <c r="J369" s="13">
        <v>2</v>
      </c>
      <c r="K369" s="14" t="str">
        <f>HYPERLINK("http://twitter.com","Twitter Web Client")</f>
        <v>Twitter Web Client</v>
      </c>
      <c r="L369" s="13">
        <v>1284</v>
      </c>
      <c r="M369" s="13">
        <v>1538</v>
      </c>
      <c r="N369" s="13">
        <v>4</v>
      </c>
      <c r="O369" s="15"/>
      <c r="P369" s="6">
        <v>42054.479398148149</v>
      </c>
      <c r="Q369" s="16" t="s">
        <v>60</v>
      </c>
      <c r="R369" s="17" t="s">
        <v>431</v>
      </c>
      <c r="S369" s="12"/>
      <c r="T369" s="12"/>
      <c r="U369" s="10" t="str">
        <f>HYPERLINK("https://pbs.twimg.com/profile_images/1069321744538918913/Xxm1Zx4_.jpg","View")</f>
        <v>View</v>
      </c>
    </row>
    <row r="370" spans="1:21" ht="20.399999999999999">
      <c r="A370" s="6">
        <v>43442.463969907403</v>
      </c>
      <c r="B370" s="7" t="str">
        <f>HYPERLINK("https://twitter.com/La_Bruja_Loli","@La_Bruja_Loli")</f>
        <v>@La_Bruja_Loli</v>
      </c>
      <c r="C370" s="8" t="s">
        <v>1589</v>
      </c>
      <c r="D370" s="9" t="s">
        <v>1590</v>
      </c>
      <c r="E370" s="10" t="str">
        <f>HYPERLINK("https://twitter.com/La_Bruja_Loli/status/1071345670437654528","1071345670437654528")</f>
        <v>1071345670437654528</v>
      </c>
      <c r="F370" s="11" t="s">
        <v>1591</v>
      </c>
      <c r="G370" s="12"/>
      <c r="H370" s="12"/>
      <c r="I370" s="13">
        <v>5</v>
      </c>
      <c r="J370" s="13">
        <v>7</v>
      </c>
      <c r="K370" s="14" t="str">
        <f>HYPERLINK("http://twitter.com/download/android","Twitter for Android")</f>
        <v>Twitter for Android</v>
      </c>
      <c r="L370" s="13">
        <v>490</v>
      </c>
      <c r="M370" s="13">
        <v>845</v>
      </c>
      <c r="N370" s="13">
        <v>0</v>
      </c>
      <c r="O370" s="15"/>
      <c r="P370" s="6">
        <v>43109.037858796291</v>
      </c>
      <c r="Q370" s="12"/>
      <c r="R370" s="17" t="s">
        <v>1592</v>
      </c>
      <c r="S370" s="12"/>
      <c r="T370" s="12"/>
      <c r="U370" s="10" t="str">
        <f>HYPERLINK("https://pbs.twimg.com/profile_images/950521312648232966/HrRHd_Kg.jpg","View")</f>
        <v>View</v>
      </c>
    </row>
    <row r="371" spans="1:21" ht="20.399999999999999">
      <c r="A371" s="6">
        <v>43442.463576388887</v>
      </c>
      <c r="B371" s="7" t="str">
        <f>HYPERLINK("https://twitter.com/nora_eleonora","@nora_eleonora")</f>
        <v>@nora_eleonora</v>
      </c>
      <c r="C371" s="8" t="s">
        <v>1593</v>
      </c>
      <c r="D371" s="9" t="s">
        <v>31</v>
      </c>
      <c r="E371" s="10" t="str">
        <f>HYPERLINK("https://twitter.com/nora_eleonora/status/1071345531069362176","1071345531069362176")</f>
        <v>1071345531069362176</v>
      </c>
      <c r="F371" s="11" t="s">
        <v>1594</v>
      </c>
      <c r="G371" s="12"/>
      <c r="H371" s="12"/>
      <c r="I371" s="13">
        <v>0</v>
      </c>
      <c r="J371" s="13">
        <v>1</v>
      </c>
      <c r="K371" s="14" t="str">
        <f>HYPERLINK("http://twitter.com","Twitter Web Client")</f>
        <v>Twitter Web Client</v>
      </c>
      <c r="L371" s="13">
        <v>29</v>
      </c>
      <c r="M371" s="13">
        <v>28</v>
      </c>
      <c r="N371" s="13">
        <v>0</v>
      </c>
      <c r="O371" s="15"/>
      <c r="P371" s="6">
        <v>40768.846388888887</v>
      </c>
      <c r="Q371" s="12"/>
      <c r="R371" s="19"/>
      <c r="S371" s="12"/>
      <c r="T371" s="12"/>
      <c r="U371" s="18" t="s">
        <v>67</v>
      </c>
    </row>
    <row r="372" spans="1:21" ht="40.799999999999997">
      <c r="A372" s="6">
        <v>43442.462164351848</v>
      </c>
      <c r="B372" s="7" t="str">
        <f>HYPERLINK("https://twitter.com/El_Intermedio","@El_Intermedio")</f>
        <v>@El_Intermedio</v>
      </c>
      <c r="C372" s="8" t="s">
        <v>1595</v>
      </c>
      <c r="D372" s="9" t="s">
        <v>1596</v>
      </c>
      <c r="E372" s="10" t="str">
        <f>HYPERLINK("https://twitter.com/El_Intermedio/status/1071345017560686592","1071345017560686592")</f>
        <v>1071345017560686592</v>
      </c>
      <c r="F372" s="11" t="s">
        <v>1597</v>
      </c>
      <c r="G372" s="12"/>
      <c r="H372" s="12"/>
      <c r="I372" s="13">
        <v>16</v>
      </c>
      <c r="J372" s="13">
        <v>24</v>
      </c>
      <c r="K372" s="14" t="str">
        <f>HYPERLINK("http://dogtrack.es","DogTrack_Oficial")</f>
        <v>DogTrack_Oficial</v>
      </c>
      <c r="L372" s="13">
        <v>1011587</v>
      </c>
      <c r="M372" s="13">
        <v>1770</v>
      </c>
      <c r="N372" s="13">
        <v>4854</v>
      </c>
      <c r="O372" s="18" t="s">
        <v>41</v>
      </c>
      <c r="P372" s="6">
        <v>39692.485879629632</v>
      </c>
      <c r="Q372" s="16" t="s">
        <v>60</v>
      </c>
      <c r="R372" s="17" t="s">
        <v>1598</v>
      </c>
      <c r="S372" s="11" t="s">
        <v>1599</v>
      </c>
      <c r="T372" s="12"/>
      <c r="U372" s="10" t="str">
        <f>HYPERLINK("https://pbs.twimg.com/profile_images/1037049026523348992/kW9y-kbu.jpg","View")</f>
        <v>View</v>
      </c>
    </row>
    <row r="373" spans="1:21" ht="51">
      <c r="A373" s="6">
        <v>43442.459189814814</v>
      </c>
      <c r="B373" s="7" t="str">
        <f>HYPERLINK("https://twitter.com/tuitadyneLPD","@tuitadyneLPD")</f>
        <v>@tuitadyneLPD</v>
      </c>
      <c r="C373" s="8" t="s">
        <v>1602</v>
      </c>
      <c r="D373" s="9" t="s">
        <v>1603</v>
      </c>
      <c r="E373" s="10" t="str">
        <f>HYPERLINK("https://twitter.com/tuitadyneLPD/status/1071343939360382976","1071343939360382976")</f>
        <v>1071343939360382976</v>
      </c>
      <c r="F373" s="12"/>
      <c r="G373" s="11" t="s">
        <v>1604</v>
      </c>
      <c r="H373" s="12"/>
      <c r="I373" s="13">
        <v>0</v>
      </c>
      <c r="J373" s="13">
        <v>5</v>
      </c>
      <c r="K373" s="14" t="str">
        <f>HYPERLINK("http://twitter.com/download/iphone","Twitter for iPhone")</f>
        <v>Twitter for iPhone</v>
      </c>
      <c r="L373" s="13">
        <v>7242</v>
      </c>
      <c r="M373" s="13">
        <v>196</v>
      </c>
      <c r="N373" s="13">
        <v>225</v>
      </c>
      <c r="O373" s="15"/>
      <c r="P373" s="6">
        <v>40127.069143518514</v>
      </c>
      <c r="Q373" s="16" t="s">
        <v>60</v>
      </c>
      <c r="R373" s="17" t="s">
        <v>1605</v>
      </c>
      <c r="S373" s="11" t="s">
        <v>1606</v>
      </c>
      <c r="T373" s="12"/>
      <c r="U373" s="10" t="str">
        <f>HYPERLINK("https://pbs.twimg.com/profile_images/642599622/tuitadynne.jpg","View")</f>
        <v>View</v>
      </c>
    </row>
    <row r="374" spans="1:21" ht="30.6">
      <c r="A374" s="6">
        <v>43442.458541666667</v>
      </c>
      <c r="B374" s="7" t="str">
        <f>HYPERLINK("https://twitter.com/GuenoPredator","@GuenoPredator")</f>
        <v>@GuenoPredator</v>
      </c>
      <c r="C374" s="8" t="s">
        <v>1607</v>
      </c>
      <c r="D374" s="9" t="s">
        <v>1608</v>
      </c>
      <c r="E374" s="10" t="str">
        <f>HYPERLINK("https://twitter.com/GuenoPredator/status/1071343702960934912","1071343702960934912")</f>
        <v>1071343702960934912</v>
      </c>
      <c r="F374" s="12"/>
      <c r="G374" s="12"/>
      <c r="H374" s="12"/>
      <c r="I374" s="13">
        <v>0</v>
      </c>
      <c r="J374" s="13">
        <v>0</v>
      </c>
      <c r="K374" s="14" t="str">
        <f>HYPERLINK("http://twitter.com/download/android","Twitter for Android")</f>
        <v>Twitter for Android</v>
      </c>
      <c r="L374" s="13">
        <v>36</v>
      </c>
      <c r="M374" s="13">
        <v>267</v>
      </c>
      <c r="N374" s="13">
        <v>0</v>
      </c>
      <c r="O374" s="15"/>
      <c r="P374" s="6">
        <v>43401.376481481479</v>
      </c>
      <c r="Q374" s="16" t="s">
        <v>60</v>
      </c>
      <c r="R374" s="17" t="s">
        <v>1609</v>
      </c>
      <c r="S374" s="12"/>
      <c r="T374" s="12"/>
      <c r="U374" s="10" t="str">
        <f>HYPERLINK("https://pbs.twimg.com/profile_images/1056459352062734336/sUVPaPs4.jpg","View")</f>
        <v>View</v>
      </c>
    </row>
    <row r="375" spans="1:21" ht="40.799999999999997">
      <c r="A375" s="6">
        <v>43442.458333333328</v>
      </c>
      <c r="B375" s="7" t="str">
        <f>HYPERLINK("https://twitter.com/la_informacion","@la_informacion")</f>
        <v>@la_informacion</v>
      </c>
      <c r="C375" s="8" t="s">
        <v>1610</v>
      </c>
      <c r="D375" s="9" t="s">
        <v>1611</v>
      </c>
      <c r="E375" s="10" t="str">
        <f>HYPERLINK("https://twitter.com/la_informacion/status/1071343629292183552","1071343629292183552")</f>
        <v>1071343629292183552</v>
      </c>
      <c r="F375" s="11" t="s">
        <v>1612</v>
      </c>
      <c r="G375" s="12"/>
      <c r="H375" s="12"/>
      <c r="I375" s="13">
        <v>2</v>
      </c>
      <c r="J375" s="13">
        <v>0</v>
      </c>
      <c r="K375" s="14" t="str">
        <f>HYPERLINK("https://www.brandsocy.com/","brandSocy_oficial")</f>
        <v>brandSocy_oficial</v>
      </c>
      <c r="L375" s="13">
        <v>431069</v>
      </c>
      <c r="M375" s="13">
        <v>1786</v>
      </c>
      <c r="N375" s="13">
        <v>8040</v>
      </c>
      <c r="O375" s="18" t="s">
        <v>41</v>
      </c>
      <c r="P375" s="6">
        <v>39820.501296296294</v>
      </c>
      <c r="Q375" s="16" t="s">
        <v>200</v>
      </c>
      <c r="R375" s="17" t="s">
        <v>1613</v>
      </c>
      <c r="S375" s="11" t="s">
        <v>1614</v>
      </c>
      <c r="T375" s="12"/>
      <c r="U375" s="10" t="str">
        <f>HYPERLINK("https://pbs.twimg.com/profile_images/913512823925428230/xPLoOKYs.jpg","View")</f>
        <v>View</v>
      </c>
    </row>
    <row r="376" spans="1:21" ht="40.799999999999997">
      <c r="A376" s="6">
        <v>43442.457361111112</v>
      </c>
      <c r="B376" s="7" t="str">
        <f>HYPERLINK("https://twitter.com/todomejorqenada","@todomejorqenada")</f>
        <v>@todomejorqenada</v>
      </c>
      <c r="C376" s="8" t="s">
        <v>1615</v>
      </c>
      <c r="D376" s="9" t="s">
        <v>1616</v>
      </c>
      <c r="E376" s="10" t="str">
        <f>HYPERLINK("https://twitter.com/todomejorqenada/status/1071343277549346816","1071343277549346816")</f>
        <v>1071343277549346816</v>
      </c>
      <c r="F376" s="12"/>
      <c r="G376" s="12"/>
      <c r="H376" s="12"/>
      <c r="I376" s="13">
        <v>1</v>
      </c>
      <c r="J376" s="13">
        <v>0</v>
      </c>
      <c r="K376" s="14" t="str">
        <f>HYPERLINK("http://twitter.com/download/android","Twitter for Android")</f>
        <v>Twitter for Android</v>
      </c>
      <c r="L376" s="13">
        <v>2225</v>
      </c>
      <c r="M376" s="13">
        <v>1367</v>
      </c>
      <c r="N376" s="13">
        <v>30</v>
      </c>
      <c r="O376" s="15"/>
      <c r="P376" s="6">
        <v>42400.644768518519</v>
      </c>
      <c r="Q376" s="12"/>
      <c r="R376" s="17" t="s">
        <v>1618</v>
      </c>
      <c r="S376" s="12"/>
      <c r="T376" s="12"/>
      <c r="U376" s="10" t="str">
        <f>HYPERLINK("https://pbs.twimg.com/profile_images/1058070908445884417/Alix_vCg.jpg","View")</f>
        <v>View</v>
      </c>
    </row>
    <row r="377" spans="1:21" ht="30.6">
      <c r="A377" s="6">
        <v>43442.456793981481</v>
      </c>
      <c r="B377" s="7" t="str">
        <f>HYPERLINK("https://twitter.com/lacerme","@lacerme")</f>
        <v>@lacerme</v>
      </c>
      <c r="C377" s="8" t="s">
        <v>1621</v>
      </c>
      <c r="D377" s="9" t="s">
        <v>1622</v>
      </c>
      <c r="E377" s="10" t="str">
        <f>HYPERLINK("https://twitter.com/lacerme/status/1071343071978250240","1071343071978250240")</f>
        <v>1071343071978250240</v>
      </c>
      <c r="F377" s="11" t="s">
        <v>1623</v>
      </c>
      <c r="G377" s="12"/>
      <c r="H377" s="12"/>
      <c r="I377" s="13">
        <v>0</v>
      </c>
      <c r="J377" s="13">
        <v>0</v>
      </c>
      <c r="K377" s="14" t="str">
        <f>HYPERLINK("http://twitter.com/download/iphone","Twitter for iPhone")</f>
        <v>Twitter for iPhone</v>
      </c>
      <c r="L377" s="13">
        <v>4020</v>
      </c>
      <c r="M377" s="13">
        <v>758</v>
      </c>
      <c r="N377" s="13">
        <v>64</v>
      </c>
      <c r="O377" s="15"/>
      <c r="P377" s="6">
        <v>40506.51021990741</v>
      </c>
      <c r="Q377" s="16" t="s">
        <v>1624</v>
      </c>
      <c r="R377" s="17" t="s">
        <v>1625</v>
      </c>
      <c r="S377" s="12"/>
      <c r="T377" s="12"/>
      <c r="U377" s="10" t="str">
        <f>HYPERLINK("https://pbs.twimg.com/profile_images/956930003677179906/Cd9l1pPZ.jpg","View")</f>
        <v>View</v>
      </c>
    </row>
    <row r="378" spans="1:21" ht="40.799999999999997">
      <c r="A378" s="6">
        <v>43442.453900462962</v>
      </c>
      <c r="B378" s="7" t="str">
        <f>HYPERLINK("https://twitter.com/CatEnComu_Podem","@CatEnComu_Podem")</f>
        <v>@CatEnComu_Podem</v>
      </c>
      <c r="C378" s="8" t="s">
        <v>1626</v>
      </c>
      <c r="D378" s="9" t="s">
        <v>1627</v>
      </c>
      <c r="E378" s="10" t="str">
        <f>HYPERLINK("https://twitter.com/CatEnComu_Podem/status/1071342021397413894","1071342021397413894")</f>
        <v>1071342021397413894</v>
      </c>
      <c r="F378" s="11" t="s">
        <v>1628</v>
      </c>
      <c r="G378" s="11" t="s">
        <v>1629</v>
      </c>
      <c r="H378" s="12"/>
      <c r="I378" s="13">
        <v>29</v>
      </c>
      <c r="J378" s="13">
        <v>30</v>
      </c>
      <c r="K378" s="14" t="str">
        <f>HYPERLINK("https://studio.twitter.com","Twitter Media Studio")</f>
        <v>Twitter Media Studio</v>
      </c>
      <c r="L378" s="13">
        <v>16620</v>
      </c>
      <c r="M378" s="13">
        <v>1937</v>
      </c>
      <c r="N378" s="13">
        <v>180</v>
      </c>
      <c r="O378" s="15"/>
      <c r="P378" s="6">
        <v>42691.741701388892</v>
      </c>
      <c r="Q378" s="16" t="s">
        <v>1249</v>
      </c>
      <c r="R378" s="17" t="s">
        <v>1630</v>
      </c>
      <c r="S378" s="11" t="s">
        <v>1631</v>
      </c>
      <c r="T378" s="12"/>
      <c r="U378" s="10" t="str">
        <f>HYPERLINK("https://pbs.twimg.com/profile_images/973165057164103681/W0BX51KE.jpg","View")</f>
        <v>View</v>
      </c>
    </row>
    <row r="379" spans="1:21" ht="51">
      <c r="A379" s="6">
        <v>43442.453657407408</v>
      </c>
      <c r="B379" s="7" t="str">
        <f>HYPERLINK("https://twitter.com/JoandeMontegris","@JoandeMontegris")</f>
        <v>@JoandeMontegris</v>
      </c>
      <c r="C379" s="8" t="s">
        <v>1632</v>
      </c>
      <c r="D379" s="9" t="s">
        <v>1633</v>
      </c>
      <c r="E379" s="10" t="str">
        <f>HYPERLINK("https://twitter.com/JoandeMontegris/status/1071341935951011840","1071341935951011840")</f>
        <v>1071341935951011840</v>
      </c>
      <c r="F379" s="12"/>
      <c r="G379" s="11" t="s">
        <v>1634</v>
      </c>
      <c r="H379" s="12"/>
      <c r="I379" s="13">
        <v>7</v>
      </c>
      <c r="J379" s="13">
        <v>28</v>
      </c>
      <c r="K379" s="14" t="str">
        <f>HYPERLINK("http://twitter.com/download/iphone","Twitter for iPhone")</f>
        <v>Twitter for iPhone</v>
      </c>
      <c r="L379" s="13">
        <v>1115</v>
      </c>
      <c r="M379" s="13">
        <v>1041</v>
      </c>
      <c r="N379" s="13">
        <v>8</v>
      </c>
      <c r="O379" s="15"/>
      <c r="P379" s="6">
        <v>42561.941423611112</v>
      </c>
      <c r="Q379" s="12"/>
      <c r="R379" s="17" t="s">
        <v>1635</v>
      </c>
      <c r="S379" s="12"/>
      <c r="T379" s="12"/>
      <c r="U379" s="10" t="str">
        <f>HYPERLINK("https://pbs.twimg.com/profile_images/930896288639541249/lTeJgB8t.jpg","View")</f>
        <v>View</v>
      </c>
    </row>
    <row r="380" spans="1:21" ht="40.799999999999997">
      <c r="A380" s="6">
        <v>43442.453449074077</v>
      </c>
      <c r="B380" s="7" t="str">
        <f>HYPERLINK("https://twitter.com/SergioQ1ta","@SergioQ1ta")</f>
        <v>@SergioQ1ta</v>
      </c>
      <c r="C380" s="8" t="s">
        <v>1636</v>
      </c>
      <c r="D380" s="9" t="s">
        <v>1637</v>
      </c>
      <c r="E380" s="10" t="str">
        <f>HYPERLINK("https://twitter.com/SergioQ1ta/status/1071341857727283200","1071341857727283200")</f>
        <v>1071341857727283200</v>
      </c>
      <c r="F380" s="12"/>
      <c r="G380" s="12"/>
      <c r="H380" s="12"/>
      <c r="I380" s="13">
        <v>0</v>
      </c>
      <c r="J380" s="13">
        <v>0</v>
      </c>
      <c r="K380" s="14" t="str">
        <f>HYPERLINK("https://mobile.twitter.com","Twitter Lite")</f>
        <v>Twitter Lite</v>
      </c>
      <c r="L380" s="13">
        <v>916</v>
      </c>
      <c r="M380" s="13">
        <v>1221</v>
      </c>
      <c r="N380" s="13">
        <v>3</v>
      </c>
      <c r="O380" s="15"/>
      <c r="P380" s="6">
        <v>42820.68677083333</v>
      </c>
      <c r="Q380" s="16" t="s">
        <v>1638</v>
      </c>
      <c r="R380" s="17" t="s">
        <v>1639</v>
      </c>
      <c r="S380" s="12"/>
      <c r="T380" s="12"/>
      <c r="U380" s="10" t="str">
        <f>HYPERLINK("https://pbs.twimg.com/profile_images/1018627910226325504/r9QzrG3b.jpg","View")</f>
        <v>View</v>
      </c>
    </row>
    <row r="381" spans="1:21" ht="30.6">
      <c r="A381" s="6">
        <v>43442.453425925924</v>
      </c>
      <c r="B381" s="7" t="str">
        <f>HYPERLINK("https://twitter.com/LibertadUnico","@LibertadUnico")</f>
        <v>@LibertadUnico</v>
      </c>
      <c r="C381" s="8" t="s">
        <v>1640</v>
      </c>
      <c r="D381" s="9" t="s">
        <v>1641</v>
      </c>
      <c r="E381" s="10" t="str">
        <f>HYPERLINK("https://twitter.com/LibertadUnico/status/1071341850487861248","1071341850487861248")</f>
        <v>1071341850487861248</v>
      </c>
      <c r="F381" s="11" t="s">
        <v>1642</v>
      </c>
      <c r="G381" s="12"/>
      <c r="H381" s="12"/>
      <c r="I381" s="13">
        <v>4</v>
      </c>
      <c r="J381" s="13">
        <v>4</v>
      </c>
      <c r="K381" s="14" t="str">
        <f>HYPERLINK("http://twitter.com","Twitter Web Client")</f>
        <v>Twitter Web Client</v>
      </c>
      <c r="L381" s="13">
        <v>9108</v>
      </c>
      <c r="M381" s="13">
        <v>9033</v>
      </c>
      <c r="N381" s="13">
        <v>78</v>
      </c>
      <c r="O381" s="15"/>
      <c r="P381" s="6">
        <v>40810.880844907406</v>
      </c>
      <c r="Q381" s="16" t="s">
        <v>1643</v>
      </c>
      <c r="R381" s="17" t="s">
        <v>1644</v>
      </c>
      <c r="S381" s="11" t="s">
        <v>1645</v>
      </c>
      <c r="T381" s="12"/>
      <c r="U381" s="10" t="str">
        <f>HYPERLINK("https://pbs.twimg.com/profile_images/1559512010/ESTATUA_LIBERTAD__50_.JPG","View")</f>
        <v>View</v>
      </c>
    </row>
    <row r="382" spans="1:21" ht="71.400000000000006">
      <c r="A382" s="6">
        <v>43442.453020833331</v>
      </c>
      <c r="B382" s="7" t="str">
        <f>HYPERLINK("https://twitter.com/opicanal","@opicanal")</f>
        <v>@opicanal</v>
      </c>
      <c r="C382" s="8" t="s">
        <v>1646</v>
      </c>
      <c r="D382" s="9" t="s">
        <v>1647</v>
      </c>
      <c r="E382" s="10" t="str">
        <f>HYPERLINK("https://twitter.com/opicanal/status/1071341704542912512","1071341704542912512")</f>
        <v>1071341704542912512</v>
      </c>
      <c r="F382" s="16" t="s">
        <v>1648</v>
      </c>
      <c r="G382" s="12"/>
      <c r="H382" s="12"/>
      <c r="I382" s="13">
        <v>0</v>
      </c>
      <c r="J382" s="13">
        <v>0</v>
      </c>
      <c r="K382" s="14" t="str">
        <f>HYPERLINK("http://twitter.com/download/android","Twitter for Android")</f>
        <v>Twitter for Android</v>
      </c>
      <c r="L382" s="13">
        <v>353</v>
      </c>
      <c r="M382" s="13">
        <v>367</v>
      </c>
      <c r="N382" s="13">
        <v>2</v>
      </c>
      <c r="O382" s="15"/>
      <c r="P382" s="6">
        <v>42964.989699074074</v>
      </c>
      <c r="Q382" s="16" t="s">
        <v>60</v>
      </c>
      <c r="R382" s="17" t="s">
        <v>1650</v>
      </c>
      <c r="S382" s="12"/>
      <c r="T382" s="12"/>
      <c r="U382" s="10" t="str">
        <f>HYPERLINK("https://pbs.twimg.com/profile_images/951585483875897344/9UAy_-li.jpg","View")</f>
        <v>View</v>
      </c>
    </row>
    <row r="383" spans="1:21" ht="40.799999999999997">
      <c r="A383" s="6">
        <v>43442.451990740738</v>
      </c>
      <c r="B383" s="7" t="str">
        <f>HYPERLINK("https://twitter.com/comercio_jaen","@comercio_jaen")</f>
        <v>@comercio_jaen</v>
      </c>
      <c r="C383" s="8" t="s">
        <v>1651</v>
      </c>
      <c r="D383" s="9" t="s">
        <v>1652</v>
      </c>
      <c r="E383" s="10" t="str">
        <f>HYPERLINK("https://twitter.com/comercio_jaen/status/1071341332076118017","1071341332076118017")</f>
        <v>1071341332076118017</v>
      </c>
      <c r="F383" s="12"/>
      <c r="G383" s="11" t="s">
        <v>1653</v>
      </c>
      <c r="H383" s="12"/>
      <c r="I383" s="13">
        <v>0</v>
      </c>
      <c r="J383" s="13">
        <v>1</v>
      </c>
      <c r="K383" s="14" t="str">
        <f>HYPERLINK("http://twitter.com","Twitter Web Client")</f>
        <v>Twitter Web Client</v>
      </c>
      <c r="L383" s="13">
        <v>51</v>
      </c>
      <c r="M383" s="13">
        <v>46</v>
      </c>
      <c r="N383" s="13">
        <v>1</v>
      </c>
      <c r="O383" s="15"/>
      <c r="P383" s="6">
        <v>43034.444814814815</v>
      </c>
      <c r="Q383" s="16" t="s">
        <v>1654</v>
      </c>
      <c r="R383" s="17" t="s">
        <v>1655</v>
      </c>
      <c r="S383" s="11" t="s">
        <v>1656</v>
      </c>
      <c r="T383" s="12"/>
      <c r="U383" s="10" t="str">
        <f>HYPERLINK("https://pbs.twimg.com/profile_images/923472214808317952/T6LwBuUg.jpg","View")</f>
        <v>View</v>
      </c>
    </row>
    <row r="384" spans="1:21" ht="30.6">
      <c r="A384" s="6">
        <v>43442.447731481487</v>
      </c>
      <c r="B384" s="7" t="str">
        <f>HYPERLINK("https://twitter.com/periodicovzlano","@periodicovzlano")</f>
        <v>@periodicovzlano</v>
      </c>
      <c r="C384" s="8" t="s">
        <v>869</v>
      </c>
      <c r="D384" s="9" t="s">
        <v>714</v>
      </c>
      <c r="E384" s="10" t="str">
        <f>HYPERLINK("https://twitter.com/periodicovzlano/status/1071339785552363521","1071339785552363521")</f>
        <v>1071339785552363521</v>
      </c>
      <c r="F384" s="11" t="s">
        <v>737</v>
      </c>
      <c r="G384" s="11" t="s">
        <v>1657</v>
      </c>
      <c r="H384" s="12"/>
      <c r="I384" s="13">
        <v>0</v>
      </c>
      <c r="J384" s="13">
        <v>0</v>
      </c>
      <c r="K384" s="14" t="str">
        <f>HYPERLINK("http://epmundo.com","Tuiteo TOP EP (1)")</f>
        <v>Tuiteo TOP EP (1)</v>
      </c>
      <c r="L384" s="13">
        <v>479694</v>
      </c>
      <c r="M384" s="13">
        <v>358804</v>
      </c>
      <c r="N384" s="13">
        <v>1295</v>
      </c>
      <c r="O384" s="15"/>
      <c r="P384" s="6">
        <v>40663.3512962963</v>
      </c>
      <c r="Q384" s="16" t="s">
        <v>871</v>
      </c>
      <c r="R384" s="17" t="s">
        <v>872</v>
      </c>
      <c r="S384" s="11" t="s">
        <v>873</v>
      </c>
      <c r="T384" s="12"/>
      <c r="U384" s="10" t="str">
        <f>HYPERLINK("https://pbs.twimg.com/profile_images/958328579250638849/MCz7Q8U6.jpg","View")</f>
        <v>View</v>
      </c>
    </row>
    <row r="385" spans="1:21" ht="30.6">
      <c r="A385" s="6">
        <v>43442.447638888887</v>
      </c>
      <c r="B385" s="7" t="str">
        <f>HYPERLINK("https://twitter.com/elmundobcn","@elmundobcn")</f>
        <v>@elmundobcn</v>
      </c>
      <c r="C385" s="8" t="s">
        <v>1658</v>
      </c>
      <c r="D385" s="9" t="s">
        <v>1659</v>
      </c>
      <c r="E385" s="10" t="str">
        <f>HYPERLINK("https://twitter.com/elmundobcn/status/1071339753965010944","1071339753965010944")</f>
        <v>1071339753965010944</v>
      </c>
      <c r="F385" s="11" t="s">
        <v>1660</v>
      </c>
      <c r="G385" s="12"/>
      <c r="H385" s="12"/>
      <c r="I385" s="13">
        <v>0</v>
      </c>
      <c r="J385" s="13">
        <v>1</v>
      </c>
      <c r="K385" s="14" t="str">
        <f>HYPERLINK("http://twitter.com/download/android","Twitter for Android")</f>
        <v>Twitter for Android</v>
      </c>
      <c r="L385" s="13">
        <v>2747</v>
      </c>
      <c r="M385" s="13">
        <v>791</v>
      </c>
      <c r="N385" s="13">
        <v>102</v>
      </c>
      <c r="O385" s="15"/>
      <c r="P385" s="6">
        <v>40203.561331018514</v>
      </c>
      <c r="Q385" s="16" t="s">
        <v>85</v>
      </c>
      <c r="R385" s="17" t="s">
        <v>1661</v>
      </c>
      <c r="S385" s="11" t="s">
        <v>1662</v>
      </c>
      <c r="T385" s="12"/>
      <c r="U385" s="10" t="str">
        <f>HYPERLINK("https://pbs.twimg.com/profile_images/600188143824941056/-WO5m6CG.jpg","View")</f>
        <v>View</v>
      </c>
    </row>
    <row r="386" spans="1:21" ht="30.6">
      <c r="A386" s="6">
        <v>43442.446921296301</v>
      </c>
      <c r="B386" s="7" t="str">
        <f>HYPERLINK("https://twitter.com/okdiario","@okdiario")</f>
        <v>@okdiario</v>
      </c>
      <c r="C386" s="8" t="s">
        <v>1581</v>
      </c>
      <c r="D386" s="9" t="s">
        <v>1663</v>
      </c>
      <c r="E386" s="10" t="str">
        <f>HYPERLINK("https://twitter.com/okdiario/status/1071339494157283328","1071339494157283328")</f>
        <v>1071339494157283328</v>
      </c>
      <c r="F386" s="11" t="s">
        <v>1664</v>
      </c>
      <c r="G386" s="12"/>
      <c r="H386" s="12"/>
      <c r="I386" s="13">
        <v>271</v>
      </c>
      <c r="J386" s="13">
        <v>108</v>
      </c>
      <c r="K386" s="14" t="str">
        <f>HYPERLINK("https://www.echobox.com","Echobox Social")</f>
        <v>Echobox Social</v>
      </c>
      <c r="L386" s="13">
        <v>112413</v>
      </c>
      <c r="M386" s="13">
        <v>343</v>
      </c>
      <c r="N386" s="13">
        <v>1440</v>
      </c>
      <c r="O386" s="18" t="s">
        <v>41</v>
      </c>
      <c r="P386" s="6">
        <v>42241.708229166667</v>
      </c>
      <c r="Q386" s="12"/>
      <c r="R386" s="17" t="s">
        <v>1584</v>
      </c>
      <c r="S386" s="11" t="s">
        <v>1585</v>
      </c>
      <c r="T386" s="12"/>
      <c r="U386" s="10" t="str">
        <f>HYPERLINK("https://pbs.twimg.com/profile_images/789113773697208320/3LvFvi8Q.jpg","View")</f>
        <v>View</v>
      </c>
    </row>
    <row r="387" spans="1:21" ht="51">
      <c r="A387" s="6">
        <v>43442.444895833338</v>
      </c>
      <c r="B387" s="7" t="str">
        <f>HYPERLINK("https://twitter.com/angel_lapelos","@angel_lapelos")</f>
        <v>@angel_lapelos</v>
      </c>
      <c r="C387" s="8" t="s">
        <v>1665</v>
      </c>
      <c r="D387" s="9" t="s">
        <v>1666</v>
      </c>
      <c r="E387" s="10" t="str">
        <f>HYPERLINK("https://twitter.com/angel_lapelos/status/1071338760024023045","1071338760024023045")</f>
        <v>1071338760024023045</v>
      </c>
      <c r="F387" s="16" t="s">
        <v>1667</v>
      </c>
      <c r="G387" s="12"/>
      <c r="H387" s="12"/>
      <c r="I387" s="13">
        <v>0</v>
      </c>
      <c r="J387" s="13">
        <v>0</v>
      </c>
      <c r="K387" s="14" t="str">
        <f>HYPERLINK("http://twitter.com/download/android","Twitter for Android")</f>
        <v>Twitter for Android</v>
      </c>
      <c r="L387" s="13">
        <v>1438</v>
      </c>
      <c r="M387" s="13">
        <v>1425</v>
      </c>
      <c r="N387" s="13">
        <v>39</v>
      </c>
      <c r="O387" s="15"/>
      <c r="P387" s="6">
        <v>41980.994618055556</v>
      </c>
      <c r="Q387" s="12"/>
      <c r="R387" s="17" t="s">
        <v>1668</v>
      </c>
      <c r="S387" s="12"/>
      <c r="T387" s="12"/>
      <c r="U387" s="10" t="str">
        <f>HYPERLINK("https://pbs.twimg.com/profile_images/1058680423361011712/zH3ftYWk.jpg","View")</f>
        <v>View</v>
      </c>
    </row>
    <row r="388" spans="1:21" ht="30.6">
      <c r="A388" s="6">
        <v>43442.441990740743</v>
      </c>
      <c r="B388" s="7" t="str">
        <f>HYPERLINK("https://twitter.com/Sergiomero_","@Sergiomero_")</f>
        <v>@Sergiomero_</v>
      </c>
      <c r="C388" s="8" t="s">
        <v>1669</v>
      </c>
      <c r="D388" s="9" t="s">
        <v>1670</v>
      </c>
      <c r="E388" s="10" t="str">
        <f>HYPERLINK("https://twitter.com/Sergiomero_/status/1071337706314129409","1071337706314129409")</f>
        <v>1071337706314129409</v>
      </c>
      <c r="F388" s="11" t="s">
        <v>1671</v>
      </c>
      <c r="G388" s="11" t="s">
        <v>1672</v>
      </c>
      <c r="H388" s="12"/>
      <c r="I388" s="13">
        <v>0</v>
      </c>
      <c r="J388" s="13">
        <v>0</v>
      </c>
      <c r="K388" s="14" t="str">
        <f t="shared" ref="K388:K389" si="67">HYPERLINK("http://twitter.com/download/iphone","Twitter for iPhone")</f>
        <v>Twitter for iPhone</v>
      </c>
      <c r="L388" s="13">
        <v>691</v>
      </c>
      <c r="M388" s="13">
        <v>713</v>
      </c>
      <c r="N388" s="13">
        <v>11</v>
      </c>
      <c r="O388" s="15"/>
      <c r="P388" s="6">
        <v>40300.764016203706</v>
      </c>
      <c r="Q388" s="16" t="s">
        <v>1673</v>
      </c>
      <c r="R388" s="17" t="s">
        <v>1674</v>
      </c>
      <c r="S388" s="12"/>
      <c r="T388" s="12"/>
      <c r="U388" s="10" t="str">
        <f>HYPERLINK("https://pbs.twimg.com/profile_images/992900075348209664/ticG8apK.jpg","View")</f>
        <v>View</v>
      </c>
    </row>
    <row r="389" spans="1:21" ht="30.6">
      <c r="A389" s="6">
        <v>43442.440868055557</v>
      </c>
      <c r="B389" s="7" t="str">
        <f>HYPERLINK("https://twitter.com/cdpache","@cdpache")</f>
        <v>@cdpache</v>
      </c>
      <c r="C389" s="8" t="s">
        <v>1675</v>
      </c>
      <c r="D389" s="9" t="s">
        <v>1676</v>
      </c>
      <c r="E389" s="10" t="str">
        <f>HYPERLINK("https://twitter.com/cdpache/status/1071337299806445568","1071337299806445568")</f>
        <v>1071337299806445568</v>
      </c>
      <c r="F389" s="12"/>
      <c r="G389" s="11" t="s">
        <v>953</v>
      </c>
      <c r="H389" s="12"/>
      <c r="I389" s="13">
        <v>8</v>
      </c>
      <c r="J389" s="13">
        <v>12</v>
      </c>
      <c r="K389" s="14" t="str">
        <f t="shared" si="67"/>
        <v>Twitter for iPhone</v>
      </c>
      <c r="L389" s="13">
        <v>2111</v>
      </c>
      <c r="M389" s="13">
        <v>1708</v>
      </c>
      <c r="N389" s="13">
        <v>62</v>
      </c>
      <c r="O389" s="18" t="s">
        <v>41</v>
      </c>
      <c r="P389" s="6">
        <v>39412.774178240739</v>
      </c>
      <c r="Q389" s="16" t="s">
        <v>200</v>
      </c>
      <c r="R389" s="17" t="s">
        <v>1677</v>
      </c>
      <c r="S389" s="11" t="s">
        <v>1678</v>
      </c>
      <c r="T389" s="12"/>
      <c r="U389" s="10" t="str">
        <f>HYPERLINK("https://pbs.twimg.com/profile_images/983665202930601985/j5kBRq2X.jpg","View")</f>
        <v>View</v>
      </c>
    </row>
    <row r="390" spans="1:21" ht="20.399999999999999">
      <c r="A390" s="6">
        <v>43442.440810185188</v>
      </c>
      <c r="B390" s="7" t="str">
        <f>HYPERLINK("https://twitter.com/AntonioLola4","@AntonioLola4")</f>
        <v>@AntonioLola4</v>
      </c>
      <c r="C390" s="8" t="s">
        <v>1679</v>
      </c>
      <c r="D390" s="9" t="s">
        <v>1680</v>
      </c>
      <c r="E390" s="10" t="str">
        <f>HYPERLINK("https://twitter.com/AntonioLola4/status/1071337277870276608","1071337277870276608")</f>
        <v>1071337277870276608</v>
      </c>
      <c r="F390" s="11" t="s">
        <v>530</v>
      </c>
      <c r="G390" s="12"/>
      <c r="H390" s="12"/>
      <c r="I390" s="13">
        <v>0</v>
      </c>
      <c r="J390" s="13">
        <v>0</v>
      </c>
      <c r="K390" s="14" t="str">
        <f t="shared" ref="K390:K393" si="68">HYPERLINK("http://twitter.com/download/android","Twitter for Android")</f>
        <v>Twitter for Android</v>
      </c>
      <c r="L390" s="13">
        <v>147</v>
      </c>
      <c r="M390" s="13">
        <v>340</v>
      </c>
      <c r="N390" s="13">
        <v>1</v>
      </c>
      <c r="O390" s="15"/>
      <c r="P390" s="6">
        <v>43322.567500000005</v>
      </c>
      <c r="Q390" s="12"/>
      <c r="R390" s="19"/>
      <c r="S390" s="12"/>
      <c r="T390" s="12"/>
      <c r="U390" s="10" t="str">
        <f>HYPERLINK("https://pbs.twimg.com/profile_images/1033050274888331264/7Km_PoOW.jpg","View")</f>
        <v>View</v>
      </c>
    </row>
    <row r="391" spans="1:21" ht="20.399999999999999">
      <c r="A391" s="6">
        <v>43442.437905092593</v>
      </c>
      <c r="B391" s="7" t="str">
        <f>HYPERLINK("https://twitter.com/diegocruzblog","@diegocruzblog")</f>
        <v>@diegocruzblog</v>
      </c>
      <c r="C391" s="8" t="s">
        <v>1682</v>
      </c>
      <c r="D391" s="9" t="s">
        <v>1683</v>
      </c>
      <c r="E391" s="10" t="str">
        <f>HYPERLINK("https://twitter.com/diegocruzblog/status/1071336226890936320","1071336226890936320")</f>
        <v>1071336226890936320</v>
      </c>
      <c r="F391" s="11" t="s">
        <v>1684</v>
      </c>
      <c r="G391" s="12"/>
      <c r="H391" s="12"/>
      <c r="I391" s="13">
        <v>1</v>
      </c>
      <c r="J391" s="13">
        <v>0</v>
      </c>
      <c r="K391" s="14" t="str">
        <f t="shared" si="68"/>
        <v>Twitter for Android</v>
      </c>
      <c r="L391" s="13">
        <v>24191</v>
      </c>
      <c r="M391" s="13">
        <v>22088</v>
      </c>
      <c r="N391" s="13">
        <v>538</v>
      </c>
      <c r="O391" s="15"/>
      <c r="P391" s="6">
        <v>39465.420439814814</v>
      </c>
      <c r="Q391" s="16" t="s">
        <v>1685</v>
      </c>
      <c r="R391" s="17" t="s">
        <v>1686</v>
      </c>
      <c r="S391" s="11" t="s">
        <v>1687</v>
      </c>
      <c r="T391" s="12"/>
      <c r="U391" s="10" t="str">
        <f>HYPERLINK("https://pbs.twimg.com/profile_images/957406979936448513/tF4hyXi5.jpg","View")</f>
        <v>View</v>
      </c>
    </row>
    <row r="392" spans="1:21" ht="40.799999999999997">
      <c r="A392" s="6">
        <v>43442.437407407408</v>
      </c>
      <c r="B392" s="7" t="str">
        <f>HYPERLINK("https://twitter.com/jollscomputer","@jollscomputer")</f>
        <v>@jollscomputer</v>
      </c>
      <c r="C392" s="8" t="s">
        <v>1688</v>
      </c>
      <c r="D392" s="9" t="s">
        <v>1689</v>
      </c>
      <c r="E392" s="10" t="str">
        <f>HYPERLINK("https://twitter.com/jollscomputer/status/1071336045038456833","1071336045038456833")</f>
        <v>1071336045038456833</v>
      </c>
      <c r="F392" s="12"/>
      <c r="G392" s="12"/>
      <c r="H392" s="12"/>
      <c r="I392" s="13">
        <v>0</v>
      </c>
      <c r="J392" s="13">
        <v>0</v>
      </c>
      <c r="K392" s="14" t="str">
        <f t="shared" si="68"/>
        <v>Twitter for Android</v>
      </c>
      <c r="L392" s="13">
        <v>483</v>
      </c>
      <c r="M392" s="13">
        <v>674</v>
      </c>
      <c r="N392" s="13">
        <v>7</v>
      </c>
      <c r="O392" s="15"/>
      <c r="P392" s="6">
        <v>40433.888645833329</v>
      </c>
      <c r="Q392" s="16" t="s">
        <v>60</v>
      </c>
      <c r="R392" s="17" t="s">
        <v>1690</v>
      </c>
      <c r="S392" s="11" t="s">
        <v>1691</v>
      </c>
      <c r="T392" s="12"/>
      <c r="U392" s="10" t="str">
        <f>HYPERLINK("https://pbs.twimg.com/profile_images/1043505530252283908/7Sl5ua8b.jpg","View")</f>
        <v>View</v>
      </c>
    </row>
    <row r="393" spans="1:21" ht="30.6">
      <c r="A393" s="6">
        <v>43442.436249999999</v>
      </c>
      <c r="B393" s="7" t="str">
        <f>HYPERLINK("https://twitter.com/pallaron12","@pallaron12")</f>
        <v>@pallaron12</v>
      </c>
      <c r="C393" s="8" t="s">
        <v>1692</v>
      </c>
      <c r="D393" s="9" t="s">
        <v>1096</v>
      </c>
      <c r="E393" s="10" t="str">
        <f>HYPERLINK("https://twitter.com/pallaron12/status/1071335627889827840","1071335627889827840")</f>
        <v>1071335627889827840</v>
      </c>
      <c r="F393" s="11" t="s">
        <v>398</v>
      </c>
      <c r="G393" s="12"/>
      <c r="H393" s="12"/>
      <c r="I393" s="13">
        <v>0</v>
      </c>
      <c r="J393" s="13">
        <v>0</v>
      </c>
      <c r="K393" s="14" t="str">
        <f t="shared" si="68"/>
        <v>Twitter for Android</v>
      </c>
      <c r="L393" s="13">
        <v>1481</v>
      </c>
      <c r="M393" s="13">
        <v>551</v>
      </c>
      <c r="N393" s="13">
        <v>8</v>
      </c>
      <c r="O393" s="15"/>
      <c r="P393" s="6">
        <v>41854.66134259259</v>
      </c>
      <c r="Q393" s="16" t="s">
        <v>1693</v>
      </c>
      <c r="R393" s="17" t="s">
        <v>1694</v>
      </c>
      <c r="S393" s="12"/>
      <c r="T393" s="12"/>
      <c r="U393" s="10" t="str">
        <f>HYPERLINK("https://pbs.twimg.com/profile_images/1064713832633896961/NkwZ7D9D.jpg","View")</f>
        <v>View</v>
      </c>
    </row>
    <row r="394" spans="1:21" ht="30.6">
      <c r="A394" s="6">
        <v>43442.435034722221</v>
      </c>
      <c r="B394" s="7" t="str">
        <f>HYPERLINK("https://twitter.com/OtraPalencia","@OtraPalencia")</f>
        <v>@OtraPalencia</v>
      </c>
      <c r="C394" s="8" t="s">
        <v>1695</v>
      </c>
      <c r="D394" s="9" t="s">
        <v>1696</v>
      </c>
      <c r="E394" s="10" t="str">
        <f>HYPERLINK("https://twitter.com/OtraPalencia/status/1071335188054061057","1071335188054061057")</f>
        <v>1071335188054061057</v>
      </c>
      <c r="F394" s="12"/>
      <c r="G394" s="12"/>
      <c r="H394" s="12"/>
      <c r="I394" s="13">
        <v>1</v>
      </c>
      <c r="J394" s="13">
        <v>1</v>
      </c>
      <c r="K394" s="14" t="str">
        <f>HYPERLINK("http://twitter.com/download/iphone","Twitter for iPhone")</f>
        <v>Twitter for iPhone</v>
      </c>
      <c r="L394" s="13">
        <v>3400</v>
      </c>
      <c r="M394" s="13">
        <v>747</v>
      </c>
      <c r="N394" s="13">
        <v>32</v>
      </c>
      <c r="O394" s="15"/>
      <c r="P394" s="6">
        <v>41209.905266203699</v>
      </c>
      <c r="Q394" s="16" t="s">
        <v>1697</v>
      </c>
      <c r="R394" s="17" t="s">
        <v>1698</v>
      </c>
      <c r="S394" s="11" t="s">
        <v>1699</v>
      </c>
      <c r="T394" s="12"/>
      <c r="U394" s="10" t="str">
        <f>HYPERLINK("https://pbs.twimg.com/profile_images/817468945510891520/I_R5ISn5.jpg","View")</f>
        <v>View</v>
      </c>
    </row>
    <row r="395" spans="1:21" ht="51">
      <c r="A395" s="6">
        <v>43442.432858796295</v>
      </c>
      <c r="B395" s="7" t="str">
        <f>HYPERLINK("https://twitter.com/silvia0907","@silvia0907")</f>
        <v>@silvia0907</v>
      </c>
      <c r="C395" s="8" t="s">
        <v>1700</v>
      </c>
      <c r="D395" s="9" t="s">
        <v>1701</v>
      </c>
      <c r="E395" s="10" t="str">
        <f>HYPERLINK("https://twitter.com/silvia0907/status/1071334398556020736","1071334398556020736")</f>
        <v>1071334398556020736</v>
      </c>
      <c r="F395" s="11" t="s">
        <v>1702</v>
      </c>
      <c r="G395" s="11" t="s">
        <v>1703</v>
      </c>
      <c r="H395" s="12"/>
      <c r="I395" s="13">
        <v>2</v>
      </c>
      <c r="J395" s="13">
        <v>1</v>
      </c>
      <c r="K395" s="14" t="str">
        <f>HYPERLINK("http://twitter.com/download/android","Twitter for Android")</f>
        <v>Twitter for Android</v>
      </c>
      <c r="L395" s="13">
        <v>3671</v>
      </c>
      <c r="M395" s="13">
        <v>63</v>
      </c>
      <c r="N395" s="13">
        <v>53</v>
      </c>
      <c r="O395" s="15"/>
      <c r="P395" s="6">
        <v>41394.656006944446</v>
      </c>
      <c r="Q395" s="16" t="s">
        <v>200</v>
      </c>
      <c r="R395" s="17" t="s">
        <v>1704</v>
      </c>
      <c r="S395" s="12"/>
      <c r="T395" s="12"/>
      <c r="U395" s="10" t="str">
        <f>HYPERLINK("https://pbs.twimg.com/profile_images/967044247273791489/I3V7XbPG.jpg","View")</f>
        <v>View</v>
      </c>
    </row>
    <row r="396" spans="1:21" ht="40.799999999999997">
      <c r="A396" s="6">
        <v>43442.432789351849</v>
      </c>
      <c r="B396" s="7" t="str">
        <f>HYPERLINK("https://twitter.com/InfoAguilas","@InfoAguilas")</f>
        <v>@InfoAguilas</v>
      </c>
      <c r="C396" s="8" t="s">
        <v>1705</v>
      </c>
      <c r="D396" s="9" t="s">
        <v>1706</v>
      </c>
      <c r="E396" s="10" t="str">
        <f>HYPERLINK("https://twitter.com/InfoAguilas/status/1071334372471701504","1071334372471701504")</f>
        <v>1071334372471701504</v>
      </c>
      <c r="F396" s="11" t="s">
        <v>1707</v>
      </c>
      <c r="G396" s="12"/>
      <c r="H396" s="12"/>
      <c r="I396" s="13">
        <v>1</v>
      </c>
      <c r="J396" s="13">
        <v>3</v>
      </c>
      <c r="K396" s="14" t="str">
        <f>HYPERLINK("http://twitter.com","Twitter Web Client")</f>
        <v>Twitter Web Client</v>
      </c>
      <c r="L396" s="13">
        <v>722</v>
      </c>
      <c r="M396" s="13">
        <v>240</v>
      </c>
      <c r="N396" s="13">
        <v>6</v>
      </c>
      <c r="O396" s="15"/>
      <c r="P396" s="6">
        <v>42459.126250000001</v>
      </c>
      <c r="Q396" s="16" t="s">
        <v>1708</v>
      </c>
      <c r="R396" s="17" t="s">
        <v>1709</v>
      </c>
      <c r="S396" s="11" t="s">
        <v>1710</v>
      </c>
      <c r="T396" s="12"/>
      <c r="U396" s="10" t="str">
        <f>HYPERLINK("https://pbs.twimg.com/profile_images/735098626372980737/KRvanPRc.jpg","View")</f>
        <v>View</v>
      </c>
    </row>
    <row r="397" spans="1:21" ht="30.6">
      <c r="A397" s="6">
        <v>43442.432696759264</v>
      </c>
      <c r="B397" s="7" t="str">
        <f>HYPERLINK("https://twitter.com/pallaron12","@pallaron12")</f>
        <v>@pallaron12</v>
      </c>
      <c r="C397" s="8" t="s">
        <v>1692</v>
      </c>
      <c r="D397" s="9" t="s">
        <v>1711</v>
      </c>
      <c r="E397" s="10" t="str">
        <f>HYPERLINK("https://twitter.com/pallaron12/status/1071334338078347265","1071334338078347265")</f>
        <v>1071334338078347265</v>
      </c>
      <c r="F397" s="11" t="s">
        <v>1712</v>
      </c>
      <c r="G397" s="12"/>
      <c r="H397" s="12"/>
      <c r="I397" s="13">
        <v>7</v>
      </c>
      <c r="J397" s="13">
        <v>9</v>
      </c>
      <c r="K397" s="14" t="str">
        <f>HYPERLINK("http://twitter.com/download/android","Twitter for Android")</f>
        <v>Twitter for Android</v>
      </c>
      <c r="L397" s="13">
        <v>1481</v>
      </c>
      <c r="M397" s="13">
        <v>551</v>
      </c>
      <c r="N397" s="13">
        <v>8</v>
      </c>
      <c r="O397" s="15"/>
      <c r="P397" s="6">
        <v>41854.66134259259</v>
      </c>
      <c r="Q397" s="16" t="s">
        <v>1693</v>
      </c>
      <c r="R397" s="17" t="s">
        <v>1694</v>
      </c>
      <c r="S397" s="12"/>
      <c r="T397" s="12"/>
      <c r="U397" s="10" t="str">
        <f>HYPERLINK("https://pbs.twimg.com/profile_images/1064713832633896961/NkwZ7D9D.jpg","View")</f>
        <v>View</v>
      </c>
    </row>
    <row r="398" spans="1:21" ht="40.799999999999997">
      <c r="A398" s="6">
        <v>43442.431481481486</v>
      </c>
      <c r="B398" s="7" t="str">
        <f>HYPERLINK("https://twitter.com/ENGINEER_28","@ENGINEER_28")</f>
        <v>@ENGINEER_28</v>
      </c>
      <c r="C398" s="8" t="s">
        <v>966</v>
      </c>
      <c r="D398" s="9" t="s">
        <v>1713</v>
      </c>
      <c r="E398" s="10" t="str">
        <f>HYPERLINK("https://twitter.com/ENGINEER_28/status/1071333896657211393","1071333896657211393")</f>
        <v>1071333896657211393</v>
      </c>
      <c r="F398" s="12"/>
      <c r="G398" s="12"/>
      <c r="H398" s="12"/>
      <c r="I398" s="13">
        <v>4</v>
      </c>
      <c r="J398" s="13">
        <v>9</v>
      </c>
      <c r="K398" s="14" t="str">
        <f>HYPERLINK("http://twitter.com/#!/download/ipad","Twitter for iPad")</f>
        <v>Twitter for iPad</v>
      </c>
      <c r="L398" s="13">
        <v>5859</v>
      </c>
      <c r="M398" s="13">
        <v>2752</v>
      </c>
      <c r="N398" s="13">
        <v>86</v>
      </c>
      <c r="O398" s="15"/>
      <c r="P398" s="6">
        <v>40271.588877314818</v>
      </c>
      <c r="Q398" s="12"/>
      <c r="R398" s="17" t="s">
        <v>968</v>
      </c>
      <c r="S398" s="12"/>
      <c r="T398" s="12"/>
      <c r="U398" s="10" t="str">
        <f>HYPERLINK("https://pbs.twimg.com/profile_images/1069171213396787201/PFW_igss.jpg","View")</f>
        <v>View</v>
      </c>
    </row>
    <row r="399" spans="1:21" ht="30.6">
      <c r="A399" s="6">
        <v>43442.430185185185</v>
      </c>
      <c r="B399" s="7" t="str">
        <f>HYPERLINK("https://twitter.com/ReyesDi62171857","@ReyesDi62171857")</f>
        <v>@ReyesDi62171857</v>
      </c>
      <c r="C399" s="8" t="s">
        <v>1715</v>
      </c>
      <c r="D399" s="9" t="s">
        <v>1324</v>
      </c>
      <c r="E399" s="10" t="str">
        <f>HYPERLINK("https://twitter.com/ReyesDi62171857/status/1071333427549478912","1071333427549478912")</f>
        <v>1071333427549478912</v>
      </c>
      <c r="F399" s="11" t="s">
        <v>467</v>
      </c>
      <c r="G399" s="12"/>
      <c r="H399" s="12"/>
      <c r="I399" s="13">
        <v>6</v>
      </c>
      <c r="J399" s="13">
        <v>7</v>
      </c>
      <c r="K399" s="14" t="str">
        <f>HYPERLINK("http://twitter.com/download/android","Twitter for Android")</f>
        <v>Twitter for Android</v>
      </c>
      <c r="L399" s="13">
        <v>3477</v>
      </c>
      <c r="M399" s="13">
        <v>3443</v>
      </c>
      <c r="N399" s="13">
        <v>10</v>
      </c>
      <c r="O399" s="15"/>
      <c r="P399" s="6">
        <v>42803.660567129627</v>
      </c>
      <c r="Q399" s="16" t="s">
        <v>1108</v>
      </c>
      <c r="R399" s="17" t="s">
        <v>1718</v>
      </c>
      <c r="S399" s="12"/>
      <c r="T399" s="12"/>
      <c r="U399" s="10" t="str">
        <f>HYPERLINK("https://pbs.twimg.com/profile_images/1051452706093719552/Lp4agXu8.jpg","View")</f>
        <v>View</v>
      </c>
    </row>
    <row r="400" spans="1:21" ht="40.799999999999997">
      <c r="A400" s="6">
        <v>43442.430115740739</v>
      </c>
      <c r="B400" s="7" t="str">
        <f>HYPERLINK("https://twitter.com/Damisela13","@Damisela13")</f>
        <v>@Damisela13</v>
      </c>
      <c r="C400" s="8" t="s">
        <v>1720</v>
      </c>
      <c r="D400" s="9" t="s">
        <v>575</v>
      </c>
      <c r="E400" s="10" t="str">
        <f>HYPERLINK("https://twitter.com/Damisela13/status/1071333403251916802","1071333403251916802")</f>
        <v>1071333403251916802</v>
      </c>
      <c r="F400" s="11" t="s">
        <v>576</v>
      </c>
      <c r="G400" s="12"/>
      <c r="H400" s="12"/>
      <c r="I400" s="13">
        <v>0</v>
      </c>
      <c r="J400" s="13">
        <v>1</v>
      </c>
      <c r="K400" s="14" t="str">
        <f>HYPERLINK("http://twitter.com","Twitter Web Client")</f>
        <v>Twitter Web Client</v>
      </c>
      <c r="L400" s="13">
        <v>2165</v>
      </c>
      <c r="M400" s="13">
        <v>1852</v>
      </c>
      <c r="N400" s="13">
        <v>11</v>
      </c>
      <c r="O400" s="15"/>
      <c r="P400" s="6">
        <v>40694.576145833329</v>
      </c>
      <c r="Q400" s="16" t="s">
        <v>325</v>
      </c>
      <c r="R400" s="17" t="s">
        <v>1724</v>
      </c>
      <c r="S400" s="12"/>
      <c r="T400" s="12"/>
      <c r="U400" s="10" t="str">
        <f>HYPERLINK("https://pbs.twimg.com/profile_images/1068288402968248320/FwDOmrj9.jpg","View")</f>
        <v>View</v>
      </c>
    </row>
    <row r="401" spans="1:21" ht="40.799999999999997">
      <c r="A401" s="6">
        <v>43442.428472222222</v>
      </c>
      <c r="B401" s="7" t="str">
        <f>HYPERLINK("https://twitter.com/frarumo","@frarumo")</f>
        <v>@frarumo</v>
      </c>
      <c r="C401" s="8" t="s">
        <v>1725</v>
      </c>
      <c r="D401" s="9" t="s">
        <v>1726</v>
      </c>
      <c r="E401" s="10" t="str">
        <f>HYPERLINK("https://twitter.com/frarumo/status/1071332809892118529","1071332809892118529")</f>
        <v>1071332809892118529</v>
      </c>
      <c r="F401" s="12"/>
      <c r="G401" s="12"/>
      <c r="H401" s="12"/>
      <c r="I401" s="13">
        <v>0</v>
      </c>
      <c r="J401" s="13">
        <v>2</v>
      </c>
      <c r="K401" s="14" t="str">
        <f t="shared" ref="K401:K402" si="69">HYPERLINK("http://twitter.com/download/iphone","Twitter for iPhone")</f>
        <v>Twitter for iPhone</v>
      </c>
      <c r="L401" s="13">
        <v>647</v>
      </c>
      <c r="M401" s="13">
        <v>356</v>
      </c>
      <c r="N401" s="13">
        <v>35</v>
      </c>
      <c r="O401" s="15"/>
      <c r="P401" s="6">
        <v>40502.293437500004</v>
      </c>
      <c r="Q401" s="16" t="s">
        <v>1727</v>
      </c>
      <c r="R401" s="17" t="s">
        <v>1728</v>
      </c>
      <c r="S401" s="11" t="s">
        <v>1729</v>
      </c>
      <c r="T401" s="12"/>
      <c r="U401" s="10" t="str">
        <f>HYPERLINK("https://pbs.twimg.com/profile_images/1053881059945955328/2ku9fnSG.jpg","View")</f>
        <v>View</v>
      </c>
    </row>
    <row r="402" spans="1:21" ht="40.799999999999997">
      <c r="A402" s="6">
        <v>43442.426944444444</v>
      </c>
      <c r="B402" s="7" t="str">
        <f>HYPERLINK("https://twitter.com/Zibelinam","@Zibelinam")</f>
        <v>@Zibelinam</v>
      </c>
      <c r="C402" s="8" t="s">
        <v>1730</v>
      </c>
      <c r="D402" s="9" t="s">
        <v>31</v>
      </c>
      <c r="E402" s="10" t="str">
        <f>HYPERLINK("https://twitter.com/Zibelinam/status/1071332254209753089","1071332254209753089")</f>
        <v>1071332254209753089</v>
      </c>
      <c r="F402" s="11" t="s">
        <v>1731</v>
      </c>
      <c r="G402" s="12"/>
      <c r="H402" s="12"/>
      <c r="I402" s="13">
        <v>0</v>
      </c>
      <c r="J402" s="13">
        <v>0</v>
      </c>
      <c r="K402" s="14" t="str">
        <f t="shared" si="69"/>
        <v>Twitter for iPhone</v>
      </c>
      <c r="L402" s="13">
        <v>4133</v>
      </c>
      <c r="M402" s="13">
        <v>4055</v>
      </c>
      <c r="N402" s="13">
        <v>20</v>
      </c>
      <c r="O402" s="15"/>
      <c r="P402" s="6">
        <v>41405.65353009259</v>
      </c>
      <c r="Q402" s="16" t="s">
        <v>1732</v>
      </c>
      <c r="R402" s="17" t="s">
        <v>1733</v>
      </c>
      <c r="S402" s="12"/>
      <c r="T402" s="12"/>
      <c r="U402" s="10" t="str">
        <f>HYPERLINK("https://pbs.twimg.com/profile_images/929426502416027649/07tvgMQf.jpg","View")</f>
        <v>View</v>
      </c>
    </row>
    <row r="403" spans="1:21" ht="20.399999999999999">
      <c r="A403" s="6">
        <v>43442.425856481481</v>
      </c>
      <c r="B403" s="7" t="str">
        <f>HYPERLINK("https://twitter.com/_A_Zero","@_A_Zero")</f>
        <v>@_A_Zero</v>
      </c>
      <c r="C403" s="8" t="s">
        <v>1734</v>
      </c>
      <c r="D403" s="9" t="s">
        <v>1735</v>
      </c>
      <c r="E403" s="10" t="str">
        <f>HYPERLINK("https://twitter.com/_A_Zero/status/1071331858590371840","1071331858590371840")</f>
        <v>1071331858590371840</v>
      </c>
      <c r="F403" s="11" t="s">
        <v>220</v>
      </c>
      <c r="G403" s="12"/>
      <c r="H403" s="12"/>
      <c r="I403" s="13">
        <v>88</v>
      </c>
      <c r="J403" s="13">
        <v>47</v>
      </c>
      <c r="K403" s="14" t="str">
        <f>HYPERLINK("http://twitter.com/download/android","Twitter for Android")</f>
        <v>Twitter for Android</v>
      </c>
      <c r="L403" s="13">
        <v>3827</v>
      </c>
      <c r="M403" s="13">
        <v>4995</v>
      </c>
      <c r="N403" s="13">
        <v>4</v>
      </c>
      <c r="O403" s="15"/>
      <c r="P403" s="6">
        <v>42905.394884259258</v>
      </c>
      <c r="Q403" s="16" t="s">
        <v>60</v>
      </c>
      <c r="R403" s="17" t="s">
        <v>1736</v>
      </c>
      <c r="S403" s="12"/>
      <c r="T403" s="12"/>
      <c r="U403" s="10" t="str">
        <f>HYPERLINK("https://pbs.twimg.com/profile_images/1068903160759103488/CYNLa8WO.jpg","View")</f>
        <v>View</v>
      </c>
    </row>
    <row r="404" spans="1:21" ht="20.399999999999999">
      <c r="A404" s="6">
        <v>43442.424016203702</v>
      </c>
      <c r="B404" s="7" t="str">
        <f>HYPERLINK("https://twitter.com/BorrajoMoncho","@BorrajoMoncho")</f>
        <v>@BorrajoMoncho</v>
      </c>
      <c r="C404" s="8" t="s">
        <v>1737</v>
      </c>
      <c r="D404" s="9" t="s">
        <v>1738</v>
      </c>
      <c r="E404" s="10" t="str">
        <f>HYPERLINK("https://twitter.com/BorrajoMoncho/status/1071331192060956672","1071331192060956672")</f>
        <v>1071331192060956672</v>
      </c>
      <c r="F404" s="12"/>
      <c r="G404" s="12"/>
      <c r="H404" s="12"/>
      <c r="I404" s="13">
        <v>3</v>
      </c>
      <c r="J404" s="13">
        <v>26</v>
      </c>
      <c r="K404" s="14" t="str">
        <f>HYPERLINK("http://twitter.com/download/iphone","Twitter for iPhone")</f>
        <v>Twitter for iPhone</v>
      </c>
      <c r="L404" s="13">
        <v>12454</v>
      </c>
      <c r="M404" s="13">
        <v>190</v>
      </c>
      <c r="N404" s="13">
        <v>79</v>
      </c>
      <c r="O404" s="15"/>
      <c r="P404" s="6">
        <v>41138.480405092589</v>
      </c>
      <c r="Q404" s="16" t="s">
        <v>60</v>
      </c>
      <c r="R404" s="17" t="s">
        <v>1739</v>
      </c>
      <c r="S404" s="11" t="s">
        <v>1740</v>
      </c>
      <c r="T404" s="12"/>
      <c r="U404" s="10" t="str">
        <f>HYPERLINK("https://pbs.twimg.com/profile_images/963516799441653764/uMwKyldZ.jpg","View")</f>
        <v>View</v>
      </c>
    </row>
    <row r="405" spans="1:21" ht="51">
      <c r="A405" s="6">
        <v>43442.423113425924</v>
      </c>
      <c r="B405" s="7" t="str">
        <f>HYPERLINK("https://twitter.com/findesemanacope","@findesemanacope")</f>
        <v>@findesemanacope</v>
      </c>
      <c r="C405" s="8" t="s">
        <v>1741</v>
      </c>
      <c r="D405" s="9" t="s">
        <v>1742</v>
      </c>
      <c r="E405" s="10" t="str">
        <f>HYPERLINK("https://twitter.com/findesemanacope/status/1071330864821362688","1071330864821362688")</f>
        <v>1071330864821362688</v>
      </c>
      <c r="F405" s="11" t="s">
        <v>1743</v>
      </c>
      <c r="G405" s="11" t="s">
        <v>1744</v>
      </c>
      <c r="H405" s="12"/>
      <c r="I405" s="13">
        <v>9</v>
      </c>
      <c r="J405" s="13">
        <v>17</v>
      </c>
      <c r="K405" s="14" t="str">
        <f>HYPERLINK("http://twitter.com","Twitter Web Client")</f>
        <v>Twitter Web Client</v>
      </c>
      <c r="L405" s="13">
        <v>9952</v>
      </c>
      <c r="M405" s="13">
        <v>493</v>
      </c>
      <c r="N405" s="13">
        <v>126</v>
      </c>
      <c r="O405" s="18" t="s">
        <v>41</v>
      </c>
      <c r="P405" s="6">
        <v>40428.719733796301</v>
      </c>
      <c r="Q405" s="16" t="s">
        <v>133</v>
      </c>
      <c r="R405" s="17" t="s">
        <v>1745</v>
      </c>
      <c r="S405" s="11" t="s">
        <v>1746</v>
      </c>
      <c r="T405" s="12"/>
      <c r="U405" s="10" t="str">
        <f>HYPERLINK("https://pbs.twimg.com/profile_images/1063396717465341952/rQP5cogM.jpg","View")</f>
        <v>View</v>
      </c>
    </row>
    <row r="406" spans="1:21" ht="20.399999999999999">
      <c r="A406" s="6">
        <v>43442.422615740739</v>
      </c>
      <c r="B406" s="7" t="str">
        <f>HYPERLINK("https://twitter.com/begoa36","@begoa36")</f>
        <v>@begoa36</v>
      </c>
      <c r="C406" s="8" t="s">
        <v>1748</v>
      </c>
      <c r="D406" s="9" t="s">
        <v>31</v>
      </c>
      <c r="E406" s="10" t="str">
        <f>HYPERLINK("https://twitter.com/begoa36/status/1071330687666536449","1071330687666536449")</f>
        <v>1071330687666536449</v>
      </c>
      <c r="F406" s="11" t="s">
        <v>1749</v>
      </c>
      <c r="G406" s="12"/>
      <c r="H406" s="12"/>
      <c r="I406" s="13">
        <v>0</v>
      </c>
      <c r="J406" s="13">
        <v>0</v>
      </c>
      <c r="K406" s="14" t="str">
        <f>HYPERLINK("http://twitter.com/download/iphone","Twitter for iPhone")</f>
        <v>Twitter for iPhone</v>
      </c>
      <c r="L406" s="13">
        <v>284</v>
      </c>
      <c r="M406" s="13">
        <v>112</v>
      </c>
      <c r="N406" s="13">
        <v>4</v>
      </c>
      <c r="O406" s="15"/>
      <c r="P406" s="6">
        <v>40806.829166666663</v>
      </c>
      <c r="Q406" s="16" t="s">
        <v>1750</v>
      </c>
      <c r="R406" s="19"/>
      <c r="S406" s="12"/>
      <c r="T406" s="12"/>
      <c r="U406" s="10" t="str">
        <f>HYPERLINK("https://pbs.twimg.com/profile_images/1039993218191044609/uHWsP2m8.jpg","View")</f>
        <v>View</v>
      </c>
    </row>
    <row r="407" spans="1:21" ht="71.400000000000006">
      <c r="A407" s="6">
        <v>43442.422280092593</v>
      </c>
      <c r="B407" s="7" t="str">
        <f>HYPERLINK("https://twitter.com/universalsevil1","@universalsevil1")</f>
        <v>@universalsevil1</v>
      </c>
      <c r="C407" s="8" t="s">
        <v>1078</v>
      </c>
      <c r="D407" s="9" t="s">
        <v>1751</v>
      </c>
      <c r="E407" s="10" t="str">
        <f>HYPERLINK("https://twitter.com/universalsevil1/status/1071330563246702592","1071330563246702592")</f>
        <v>1071330563246702592</v>
      </c>
      <c r="F407" s="16" t="s">
        <v>1752</v>
      </c>
      <c r="G407" s="12"/>
      <c r="H407" s="12"/>
      <c r="I407" s="13">
        <v>2</v>
      </c>
      <c r="J407" s="13">
        <v>4</v>
      </c>
      <c r="K407" s="14" t="str">
        <f>HYPERLINK("http://twitter.com/download/android","Twitter for Android")</f>
        <v>Twitter for Android</v>
      </c>
      <c r="L407" s="13">
        <v>412</v>
      </c>
      <c r="M407" s="13">
        <v>694</v>
      </c>
      <c r="N407" s="13">
        <v>7</v>
      </c>
      <c r="O407" s="15"/>
      <c r="P407" s="6">
        <v>42373.857349537036</v>
      </c>
      <c r="Q407" s="12"/>
      <c r="R407" s="19"/>
      <c r="S407" s="12"/>
      <c r="T407" s="12"/>
      <c r="U407" s="10" t="str">
        <f>HYPERLINK("https://pbs.twimg.com/profile_images/990336265085177857/jUe7wYwz.jpg","View")</f>
        <v>View</v>
      </c>
    </row>
    <row r="408" spans="1:21" ht="20.399999999999999">
      <c r="A408" s="6">
        <v>43442.421469907407</v>
      </c>
      <c r="B408" s="7" t="str">
        <f>HYPERLINK("https://twitter.com/LuisSD17","@LuisSD17")</f>
        <v>@LuisSD17</v>
      </c>
      <c r="C408" s="8" t="s">
        <v>1754</v>
      </c>
      <c r="D408" s="9" t="s">
        <v>1755</v>
      </c>
      <c r="E408" s="10" t="str">
        <f>HYPERLINK("https://twitter.com/LuisSD17/status/1071330269993594881","1071330269993594881")</f>
        <v>1071330269993594881</v>
      </c>
      <c r="F408" s="12"/>
      <c r="G408" s="11" t="s">
        <v>1756</v>
      </c>
      <c r="H408" s="12"/>
      <c r="I408" s="13">
        <v>0</v>
      </c>
      <c r="J408" s="13">
        <v>1</v>
      </c>
      <c r="K408" s="14" t="str">
        <f>HYPERLINK("http://twitter.com/download/iphone","Twitter for iPhone")</f>
        <v>Twitter for iPhone</v>
      </c>
      <c r="L408" s="13">
        <v>393</v>
      </c>
      <c r="M408" s="13">
        <v>1066</v>
      </c>
      <c r="N408" s="13">
        <v>3</v>
      </c>
      <c r="O408" s="15"/>
      <c r="P408" s="6">
        <v>42441.913564814815</v>
      </c>
      <c r="Q408" s="16" t="s">
        <v>60</v>
      </c>
      <c r="R408" s="17" t="s">
        <v>1757</v>
      </c>
      <c r="S408" s="12"/>
      <c r="T408" s="12"/>
      <c r="U408" s="10" t="str">
        <f>HYPERLINK("https://pbs.twimg.com/profile_images/1068073067094687744/yN2MmXdN.jpg","View")</f>
        <v>View</v>
      </c>
    </row>
    <row r="409" spans="1:21" ht="20.399999999999999">
      <c r="A409" s="6">
        <v>43442.420995370368</v>
      </c>
      <c r="B409" s="7" t="str">
        <f>HYPERLINK("https://twitter.com/sepaesbi","@sepaesbi")</f>
        <v>@sepaesbi</v>
      </c>
      <c r="C409" s="8" t="s">
        <v>1758</v>
      </c>
      <c r="D409" s="9" t="s">
        <v>1759</v>
      </c>
      <c r="E409" s="10" t="str">
        <f>HYPERLINK("https://twitter.com/sepaesbi/status/1071330099704795136","1071330099704795136")</f>
        <v>1071330099704795136</v>
      </c>
      <c r="F409" s="11" t="s">
        <v>1760</v>
      </c>
      <c r="G409" s="12"/>
      <c r="H409" s="12"/>
      <c r="I409" s="13">
        <v>0</v>
      </c>
      <c r="J409" s="13">
        <v>0</v>
      </c>
      <c r="K409" s="14" t="str">
        <f t="shared" ref="K409:K410" si="70">HYPERLINK("http://twitter.com","Twitter Web Client")</f>
        <v>Twitter Web Client</v>
      </c>
      <c r="L409" s="13">
        <v>69</v>
      </c>
      <c r="M409" s="13">
        <v>278</v>
      </c>
      <c r="N409" s="13">
        <v>1</v>
      </c>
      <c r="O409" s="15"/>
      <c r="P409" s="6">
        <v>41724.721539351856</v>
      </c>
      <c r="Q409" s="12"/>
      <c r="R409" s="19"/>
      <c r="S409" s="12"/>
      <c r="T409" s="12"/>
      <c r="U409" s="18" t="s">
        <v>67</v>
      </c>
    </row>
    <row r="410" spans="1:21" ht="20.399999999999999">
      <c r="A410" s="6">
        <v>43442.420995370368</v>
      </c>
      <c r="B410" s="7" t="str">
        <f>HYPERLINK("https://twitter.com/Filosofandamio","@Filosofandamio")</f>
        <v>@Filosofandamio</v>
      </c>
      <c r="C410" s="8" t="s">
        <v>1761</v>
      </c>
      <c r="D410" s="9" t="s">
        <v>1762</v>
      </c>
      <c r="E410" s="10" t="str">
        <f>HYPERLINK("https://twitter.com/Filosofandamio/status/1071330099054764034","1071330099054764034")</f>
        <v>1071330099054764034</v>
      </c>
      <c r="F410" s="11" t="s">
        <v>1763</v>
      </c>
      <c r="G410" s="12"/>
      <c r="H410" s="12"/>
      <c r="I410" s="13">
        <v>0</v>
      </c>
      <c r="J410" s="13">
        <v>0</v>
      </c>
      <c r="K410" s="14" t="str">
        <f t="shared" si="70"/>
        <v>Twitter Web Client</v>
      </c>
      <c r="L410" s="13">
        <v>1894</v>
      </c>
      <c r="M410" s="13">
        <v>4942</v>
      </c>
      <c r="N410" s="13">
        <v>9</v>
      </c>
      <c r="O410" s="15"/>
      <c r="P410" s="6">
        <v>42219.690335648149</v>
      </c>
      <c r="Q410" s="12"/>
      <c r="R410" s="17" t="s">
        <v>1764</v>
      </c>
      <c r="S410" s="12"/>
      <c r="T410" s="12"/>
      <c r="U410" s="10" t="str">
        <f>HYPERLINK("https://pbs.twimg.com/profile_images/628536183417622528/IRcYNH7V.jpg","View")</f>
        <v>View</v>
      </c>
    </row>
    <row r="411" spans="1:21" ht="20.399999999999999">
      <c r="A411" s="6">
        <v>43442.420312499999</v>
      </c>
      <c r="B411" s="7" t="str">
        <f>HYPERLINK("https://twitter.com/EP_Mundo","@EP_Mundo")</f>
        <v>@EP_Mundo</v>
      </c>
      <c r="C411" s="8" t="s">
        <v>735</v>
      </c>
      <c r="D411" s="9" t="s">
        <v>736</v>
      </c>
      <c r="E411" s="10" t="str">
        <f>HYPERLINK("https://twitter.com/EP_Mundo/status/1071329851125260288","1071329851125260288")</f>
        <v>1071329851125260288</v>
      </c>
      <c r="F411" s="11" t="s">
        <v>737</v>
      </c>
      <c r="G411" s="11" t="s">
        <v>1765</v>
      </c>
      <c r="H411" s="12"/>
      <c r="I411" s="13">
        <v>0</v>
      </c>
      <c r="J411" s="13">
        <v>0</v>
      </c>
      <c r="K411" s="14" t="str">
        <f>HYPERLINK("http://epmundo.com","Tuiteo TOP EP (2)")</f>
        <v>Tuiteo TOP EP (2)</v>
      </c>
      <c r="L411" s="13">
        <v>510220</v>
      </c>
      <c r="M411" s="13">
        <v>301867</v>
      </c>
      <c r="N411" s="13">
        <v>1363</v>
      </c>
      <c r="O411" s="15"/>
      <c r="P411" s="6">
        <v>40203.223078703704</v>
      </c>
      <c r="Q411" s="12"/>
      <c r="R411" s="17" t="s">
        <v>739</v>
      </c>
      <c r="S411" s="11" t="s">
        <v>740</v>
      </c>
      <c r="T411" s="12"/>
      <c r="U411" s="10" t="str">
        <f>HYPERLINK("https://pbs.twimg.com/profile_images/958329583778099200/87-xiuzB.jpg","View")</f>
        <v>View</v>
      </c>
    </row>
    <row r="412" spans="1:21" ht="40.799999999999997">
      <c r="A412" s="6">
        <v>43442.419224537036</v>
      </c>
      <c r="B412" s="7" t="str">
        <f>HYPERLINK("https://twitter.com/MasKetroll","@MasKetroll")</f>
        <v>@MasKetroll</v>
      </c>
      <c r="C412" s="8" t="s">
        <v>1766</v>
      </c>
      <c r="D412" s="9" t="s">
        <v>1767</v>
      </c>
      <c r="E412" s="10" t="str">
        <f>HYPERLINK("https://twitter.com/MasKetroll/status/1071329455480733697","1071329455480733697")</f>
        <v>1071329455480733697</v>
      </c>
      <c r="F412" s="11" t="s">
        <v>1768</v>
      </c>
      <c r="G412" s="12"/>
      <c r="H412" s="12"/>
      <c r="I412" s="13">
        <v>0</v>
      </c>
      <c r="J412" s="13">
        <v>1</v>
      </c>
      <c r="K412" s="14" t="str">
        <f>HYPERLINK("http://twitter.com","Twitter Web Client")</f>
        <v>Twitter Web Client</v>
      </c>
      <c r="L412" s="13">
        <v>31533</v>
      </c>
      <c r="M412" s="13">
        <v>25474</v>
      </c>
      <c r="N412" s="13">
        <v>123</v>
      </c>
      <c r="O412" s="15"/>
      <c r="P412" s="6">
        <v>40350.098449074074</v>
      </c>
      <c r="Q412" s="16" t="s">
        <v>1769</v>
      </c>
      <c r="R412" s="17" t="s">
        <v>1770</v>
      </c>
      <c r="S412" s="12"/>
      <c r="T412" s="12"/>
      <c r="U412" s="10" t="str">
        <f>HYPERLINK("https://pbs.twimg.com/profile_images/1070049749011714049/EkhuTdA3.jpg","View")</f>
        <v>View</v>
      </c>
    </row>
    <row r="413" spans="1:21" ht="81.599999999999994">
      <c r="A413" s="6">
        <v>43442.416979166665</v>
      </c>
      <c r="B413" s="7" t="str">
        <f>HYPERLINK("https://twitter.com/Tor2Martn","@Tor2Martn")</f>
        <v>@Tor2Martn</v>
      </c>
      <c r="C413" s="8" t="s">
        <v>1771</v>
      </c>
      <c r="D413" s="9" t="s">
        <v>1772</v>
      </c>
      <c r="E413" s="10" t="str">
        <f>HYPERLINK("https://twitter.com/Tor2Martn/status/1071328642301616128","1071328642301616128")</f>
        <v>1071328642301616128</v>
      </c>
      <c r="F413" s="16" t="s">
        <v>1773</v>
      </c>
      <c r="G413" s="12"/>
      <c r="H413" s="12"/>
      <c r="I413" s="13">
        <v>0</v>
      </c>
      <c r="J413" s="13">
        <v>0</v>
      </c>
      <c r="K413" s="14" t="str">
        <f>HYPERLINK("http://twitter.com/download/iphone","Twitter for iPhone")</f>
        <v>Twitter for iPhone</v>
      </c>
      <c r="L413" s="13">
        <v>27</v>
      </c>
      <c r="M413" s="13">
        <v>66</v>
      </c>
      <c r="N413" s="13">
        <v>0</v>
      </c>
      <c r="O413" s="15"/>
      <c r="P413" s="6">
        <v>42918.899780092594</v>
      </c>
      <c r="Q413" s="12"/>
      <c r="R413" s="19"/>
      <c r="S413" s="12"/>
      <c r="T413" s="12"/>
      <c r="U413" s="10" t="str">
        <f>HYPERLINK("https://pbs.twimg.com/profile_images/1062097162434240512/Of0Hb3pu.jpg","View")</f>
        <v>View</v>
      </c>
    </row>
    <row r="414" spans="1:21" ht="51">
      <c r="A414" s="6">
        <v>43442.416921296295</v>
      </c>
      <c r="B414" s="7" t="str">
        <f>HYPERLINK("https://twitter.com/elasteriscoes","@elasteriscoes")</f>
        <v>@elasteriscoes</v>
      </c>
      <c r="C414" s="20" t="s">
        <v>1774</v>
      </c>
      <c r="D414" s="9" t="s">
        <v>1775</v>
      </c>
      <c r="E414" s="10" t="str">
        <f>HYPERLINK("https://twitter.com/elasteriscoes/status/1071328624031223808","1071328624031223808")</f>
        <v>1071328624031223808</v>
      </c>
      <c r="F414" s="11" t="s">
        <v>1776</v>
      </c>
      <c r="G414" s="12"/>
      <c r="H414" s="12"/>
      <c r="I414" s="13">
        <v>2</v>
      </c>
      <c r="J414" s="13">
        <v>2</v>
      </c>
      <c r="K414" s="14" t="str">
        <f>HYPERLINK("https://www.hootsuite.com","Hootsuite Inc.")</f>
        <v>Hootsuite Inc.</v>
      </c>
      <c r="L414" s="13">
        <v>3509</v>
      </c>
      <c r="M414" s="13">
        <v>18</v>
      </c>
      <c r="N414" s="13">
        <v>44</v>
      </c>
      <c r="O414" s="15"/>
      <c r="P414" s="6">
        <v>42650.575659722221</v>
      </c>
      <c r="Q414" s="12"/>
      <c r="R414" s="17" t="s">
        <v>1777</v>
      </c>
      <c r="S414" s="11" t="s">
        <v>1778</v>
      </c>
      <c r="T414" s="12"/>
      <c r="U414" s="10" t="str">
        <f>HYPERLINK("https://pbs.twimg.com/profile_images/905457227070353409/cxftYOH_.jpg","View")</f>
        <v>View</v>
      </c>
    </row>
    <row r="415" spans="1:21" ht="20.399999999999999">
      <c r="A415" s="6">
        <v>43442.41605324074</v>
      </c>
      <c r="B415" s="7" t="str">
        <f>HYPERLINK("https://twitter.com/PpcaballosPepe","@PpcaballosPepe")</f>
        <v>@PpcaballosPepe</v>
      </c>
      <c r="C415" s="8" t="s">
        <v>1779</v>
      </c>
      <c r="D415" s="9" t="s">
        <v>1780</v>
      </c>
      <c r="E415" s="10" t="str">
        <f>HYPERLINK("https://twitter.com/PpcaballosPepe/status/1071328307763912704","1071328307763912704")</f>
        <v>1071328307763912704</v>
      </c>
      <c r="F415" s="11" t="s">
        <v>1781</v>
      </c>
      <c r="G415" s="12"/>
      <c r="H415" s="12"/>
      <c r="I415" s="13">
        <v>0</v>
      </c>
      <c r="J415" s="13">
        <v>0</v>
      </c>
      <c r="K415" s="14" t="str">
        <f>HYPERLINK("http://twitter.com","Twitter Web Client")</f>
        <v>Twitter Web Client</v>
      </c>
      <c r="L415" s="13">
        <v>71</v>
      </c>
      <c r="M415" s="13">
        <v>205</v>
      </c>
      <c r="N415" s="13">
        <v>0</v>
      </c>
      <c r="O415" s="15"/>
      <c r="P415" s="6">
        <v>40963.386145833334</v>
      </c>
      <c r="Q415" s="12"/>
      <c r="R415" s="17" t="s">
        <v>1782</v>
      </c>
      <c r="S415" s="12"/>
      <c r="T415" s="12"/>
      <c r="U415" s="18" t="s">
        <v>67</v>
      </c>
    </row>
    <row r="416" spans="1:21" ht="40.799999999999997">
      <c r="A416" s="6">
        <v>43442.415729166663</v>
      </c>
      <c r="B416" s="7" t="str">
        <f>HYPERLINK("https://twitter.com/Alfacebook64","@Alfacebook64")</f>
        <v>@Alfacebook64</v>
      </c>
      <c r="C416" s="8" t="s">
        <v>1783</v>
      </c>
      <c r="D416" s="9" t="s">
        <v>1784</v>
      </c>
      <c r="E416" s="10" t="str">
        <f>HYPERLINK("https://twitter.com/Alfacebook64/status/1071328188280856576","1071328188280856576")</f>
        <v>1071328188280856576</v>
      </c>
      <c r="F416" s="11" t="s">
        <v>115</v>
      </c>
      <c r="G416" s="12"/>
      <c r="H416" s="12"/>
      <c r="I416" s="13">
        <v>0</v>
      </c>
      <c r="J416" s="13">
        <v>0</v>
      </c>
      <c r="K416" s="14" t="str">
        <f>HYPERLINK("http://twitter.com/#!/download/ipad","Twitter for iPad")</f>
        <v>Twitter for iPad</v>
      </c>
      <c r="L416" s="13">
        <v>4246</v>
      </c>
      <c r="M416" s="13">
        <v>3515</v>
      </c>
      <c r="N416" s="13">
        <v>39</v>
      </c>
      <c r="O416" s="15"/>
      <c r="P416" s="6">
        <v>42189.951504629629</v>
      </c>
      <c r="Q416" s="16" t="s">
        <v>1785</v>
      </c>
      <c r="R416" s="17" t="s">
        <v>1786</v>
      </c>
      <c r="S416" s="12"/>
      <c r="T416" s="12"/>
      <c r="U416" s="10" t="str">
        <f>HYPERLINK("https://pbs.twimg.com/profile_images/636562609811099648/TOG_sQjr.jpg","View")</f>
        <v>View</v>
      </c>
    </row>
    <row r="417" spans="1:21" ht="30.6">
      <c r="A417" s="6">
        <v>43442.413680555561</v>
      </c>
      <c r="B417" s="7" t="str">
        <f>HYPERLINK("https://twitter.com/periodicovzlano","@periodicovzlano")</f>
        <v>@periodicovzlano</v>
      </c>
      <c r="C417" s="8" t="s">
        <v>869</v>
      </c>
      <c r="D417" s="9" t="s">
        <v>714</v>
      </c>
      <c r="E417" s="10" t="str">
        <f>HYPERLINK("https://twitter.com/periodicovzlano/status/1071327448627843072","1071327448627843072")</f>
        <v>1071327448627843072</v>
      </c>
      <c r="F417" s="11" t="s">
        <v>737</v>
      </c>
      <c r="G417" s="11" t="s">
        <v>1787</v>
      </c>
      <c r="H417" s="12"/>
      <c r="I417" s="13">
        <v>0</v>
      </c>
      <c r="J417" s="13">
        <v>0</v>
      </c>
      <c r="K417" s="14" t="str">
        <f>HYPERLINK("http://epmundo.com","Tuiteo TOP EP (1)")</f>
        <v>Tuiteo TOP EP (1)</v>
      </c>
      <c r="L417" s="13">
        <v>479694</v>
      </c>
      <c r="M417" s="13">
        <v>358804</v>
      </c>
      <c r="N417" s="13">
        <v>1295</v>
      </c>
      <c r="O417" s="15"/>
      <c r="P417" s="6">
        <v>40663.3512962963</v>
      </c>
      <c r="Q417" s="16" t="s">
        <v>871</v>
      </c>
      <c r="R417" s="17" t="s">
        <v>872</v>
      </c>
      <c r="S417" s="11" t="s">
        <v>873</v>
      </c>
      <c r="T417" s="12"/>
      <c r="U417" s="10" t="str">
        <f>HYPERLINK("https://pbs.twimg.com/profile_images/958328579250638849/MCz7Q8U6.jpg","View")</f>
        <v>View</v>
      </c>
    </row>
    <row r="418" spans="1:21" ht="30.6">
      <c r="A418" s="6">
        <v>43442.412974537037</v>
      </c>
      <c r="B418" s="7" t="str">
        <f>HYPERLINK("https://twitter.com/odalbat","@odalbat")</f>
        <v>@odalbat</v>
      </c>
      <c r="C418" s="8" t="s">
        <v>1788</v>
      </c>
      <c r="D418" s="9" t="s">
        <v>31</v>
      </c>
      <c r="E418" s="10" t="str">
        <f>HYPERLINK("https://twitter.com/odalbat/status/1071327192313982976","1071327192313982976")</f>
        <v>1071327192313982976</v>
      </c>
      <c r="F418" s="11" t="s">
        <v>1789</v>
      </c>
      <c r="G418" s="12"/>
      <c r="H418" s="12"/>
      <c r="I418" s="13">
        <v>0</v>
      </c>
      <c r="J418" s="13">
        <v>0</v>
      </c>
      <c r="K418" s="14" t="str">
        <f>HYPERLINK("http://twitter.com/download/android","Twitter for Android")</f>
        <v>Twitter for Android</v>
      </c>
      <c r="L418" s="13">
        <v>204</v>
      </c>
      <c r="M418" s="13">
        <v>25</v>
      </c>
      <c r="N418" s="13">
        <v>1</v>
      </c>
      <c r="O418" s="15"/>
      <c r="P418" s="6">
        <v>43099.408414351856</v>
      </c>
      <c r="Q418" s="12"/>
      <c r="R418" s="17" t="s">
        <v>1790</v>
      </c>
      <c r="S418" s="12"/>
      <c r="T418" s="12"/>
      <c r="U418" s="10" t="str">
        <f>HYPERLINK("https://pbs.twimg.com/profile_images/947043634746183680/OrnF09sW.jpg","View")</f>
        <v>View</v>
      </c>
    </row>
    <row r="419" spans="1:21" ht="20.399999999999999">
      <c r="A419" s="6">
        <v>43442.412789351853</v>
      </c>
      <c r="B419" s="7" t="str">
        <f>HYPERLINK("https://twitter.com/Alfacebook64","@Alfacebook64")</f>
        <v>@Alfacebook64</v>
      </c>
      <c r="C419" s="8" t="s">
        <v>1783</v>
      </c>
      <c r="D419" s="9" t="s">
        <v>1791</v>
      </c>
      <c r="E419" s="10" t="str">
        <f>HYPERLINK("https://twitter.com/Alfacebook64/status/1071327125880356865","1071327125880356865")</f>
        <v>1071327125880356865</v>
      </c>
      <c r="F419" s="11" t="s">
        <v>246</v>
      </c>
      <c r="G419" s="12"/>
      <c r="H419" s="12"/>
      <c r="I419" s="13">
        <v>0</v>
      </c>
      <c r="J419" s="13">
        <v>1</v>
      </c>
      <c r="K419" s="14" t="str">
        <f>HYPERLINK("http://twitter.com/#!/download/ipad","Twitter for iPad")</f>
        <v>Twitter for iPad</v>
      </c>
      <c r="L419" s="13">
        <v>4246</v>
      </c>
      <c r="M419" s="13">
        <v>3515</v>
      </c>
      <c r="N419" s="13">
        <v>39</v>
      </c>
      <c r="O419" s="15"/>
      <c r="P419" s="6">
        <v>42189.951504629629</v>
      </c>
      <c r="Q419" s="16" t="s">
        <v>1785</v>
      </c>
      <c r="R419" s="17" t="s">
        <v>1786</v>
      </c>
      <c r="S419" s="12"/>
      <c r="T419" s="12"/>
      <c r="U419" s="10" t="str">
        <f>HYPERLINK("https://pbs.twimg.com/profile_images/636562609811099648/TOG_sQjr.jpg","View")</f>
        <v>View</v>
      </c>
    </row>
    <row r="420" spans="1:21" ht="51">
      <c r="A420" s="6">
        <v>43442.41238425926</v>
      </c>
      <c r="B420" s="7" t="str">
        <f>HYPERLINK("https://twitter.com/AntoniCamps","@AntoniCamps")</f>
        <v>@AntoniCamps</v>
      </c>
      <c r="C420" s="8" t="s">
        <v>1792</v>
      </c>
      <c r="D420" s="9" t="s">
        <v>1793</v>
      </c>
      <c r="E420" s="10" t="str">
        <f>HYPERLINK("https://twitter.com/AntoniCamps/status/1071326976756146176","1071326976756146176")</f>
        <v>1071326976756146176</v>
      </c>
      <c r="F420" s="16" t="s">
        <v>1794</v>
      </c>
      <c r="G420" s="12"/>
      <c r="H420" s="12"/>
      <c r="I420" s="13">
        <v>0</v>
      </c>
      <c r="J420" s="13">
        <v>0</v>
      </c>
      <c r="K420" s="14" t="str">
        <f>HYPERLINK("http://twitter.com/download/android","Twitter for Android")</f>
        <v>Twitter for Android</v>
      </c>
      <c r="L420" s="13">
        <v>2666</v>
      </c>
      <c r="M420" s="13">
        <v>1917</v>
      </c>
      <c r="N420" s="13">
        <v>73</v>
      </c>
      <c r="O420" s="15"/>
      <c r="P420" s="6">
        <v>40942.03597222222</v>
      </c>
      <c r="Q420" s="16" t="s">
        <v>1795</v>
      </c>
      <c r="R420" s="17" t="s">
        <v>1796</v>
      </c>
      <c r="S420" s="11" t="s">
        <v>1797</v>
      </c>
      <c r="T420" s="12"/>
      <c r="U420" s="10" t="str">
        <f>HYPERLINK("https://pbs.twimg.com/profile_images/1062783212223643655/TihcmzjJ.jpg","View")</f>
        <v>View</v>
      </c>
    </row>
    <row r="421" spans="1:21" ht="102">
      <c r="A421" s="6">
        <v>43442.410648148143</v>
      </c>
      <c r="B421" s="7" t="str">
        <f>HYPERLINK("https://twitter.com/miguefuente","@miguefuente")</f>
        <v>@miguefuente</v>
      </c>
      <c r="C421" s="8" t="s">
        <v>1798</v>
      </c>
      <c r="D421" s="9" t="s">
        <v>1799</v>
      </c>
      <c r="E421" s="10" t="str">
        <f>HYPERLINK("https://twitter.com/miguefuente/status/1071326347392376832","1071326347392376832")</f>
        <v>1071326347392376832</v>
      </c>
      <c r="F421" s="11" t="s">
        <v>54</v>
      </c>
      <c r="G421" s="11" t="s">
        <v>55</v>
      </c>
      <c r="H421" s="12"/>
      <c r="I421" s="13">
        <v>1</v>
      </c>
      <c r="J421" s="13">
        <v>1</v>
      </c>
      <c r="K421" s="14" t="str">
        <f>HYPERLINK("http://twitter.com/download/iphone","Twitter for iPhone")</f>
        <v>Twitter for iPhone</v>
      </c>
      <c r="L421" s="13">
        <v>1441</v>
      </c>
      <c r="M421" s="13">
        <v>2803</v>
      </c>
      <c r="N421" s="13">
        <v>90</v>
      </c>
      <c r="O421" s="15"/>
      <c r="P421" s="6">
        <v>40683.02988425926</v>
      </c>
      <c r="Q421" s="12"/>
      <c r="R421" s="17" t="s">
        <v>1800</v>
      </c>
      <c r="S421" s="12"/>
      <c r="T421" s="12"/>
      <c r="U421" s="10" t="str">
        <f>HYPERLINK("https://pbs.twimg.com/profile_images/1010273487863406592/uKfsQ-BK.jpg","View")</f>
        <v>View</v>
      </c>
    </row>
    <row r="422" spans="1:21" ht="30.6">
      <c r="A422" s="6">
        <v>43442.409513888888</v>
      </c>
      <c r="B422" s="7" t="str">
        <f>HYPERLINK("https://twitter.com/solutionsLab","@solutionsLab")</f>
        <v>@solutionsLab</v>
      </c>
      <c r="C422" s="8" t="s">
        <v>1801</v>
      </c>
      <c r="D422" s="9" t="s">
        <v>1317</v>
      </c>
      <c r="E422" s="10" t="str">
        <f>HYPERLINK("https://twitter.com/solutionsLab/status/1071325936426070017","1071325936426070017")</f>
        <v>1071325936426070017</v>
      </c>
      <c r="F422" s="11" t="s">
        <v>576</v>
      </c>
      <c r="G422" s="12"/>
      <c r="H422" s="12"/>
      <c r="I422" s="13">
        <v>0</v>
      </c>
      <c r="J422" s="13">
        <v>0</v>
      </c>
      <c r="K422" s="14" t="str">
        <f>HYPERLINK("http://www.facebook.com/twitter","Facebook")</f>
        <v>Facebook</v>
      </c>
      <c r="L422" s="13">
        <v>240</v>
      </c>
      <c r="M422" s="13">
        <v>481</v>
      </c>
      <c r="N422" s="13">
        <v>94</v>
      </c>
      <c r="O422" s="15"/>
      <c r="P422" s="6">
        <v>40744.423298611109</v>
      </c>
      <c r="Q422" s="16" t="s">
        <v>82</v>
      </c>
      <c r="R422" s="17" t="s">
        <v>1802</v>
      </c>
      <c r="S422" s="11" t="s">
        <v>1803</v>
      </c>
      <c r="T422" s="12"/>
      <c r="U422" s="10" t="str">
        <f>HYPERLINK("https://pbs.twimg.com/profile_images/378800000792350418/cff62bae966ba232c06ba644158379a6.jpeg","View")</f>
        <v>View</v>
      </c>
    </row>
    <row r="423" spans="1:21" ht="20.399999999999999">
      <c r="A423" s="6">
        <v>43442.40902777778</v>
      </c>
      <c r="B423" s="7" t="str">
        <f>HYPERLINK("https://twitter.com/evanescencia__","@evanescencia__")</f>
        <v>@evanescencia__</v>
      </c>
      <c r="C423" s="8" t="s">
        <v>1804</v>
      </c>
      <c r="D423" s="9" t="s">
        <v>1805</v>
      </c>
      <c r="E423" s="10" t="str">
        <f>HYPERLINK("https://twitter.com/evanescencia__/status/1071325761032863746","1071325761032863746")</f>
        <v>1071325761032863746</v>
      </c>
      <c r="F423" s="12"/>
      <c r="G423" s="12"/>
      <c r="H423" s="12"/>
      <c r="I423" s="13">
        <v>0</v>
      </c>
      <c r="J423" s="13">
        <v>0</v>
      </c>
      <c r="K423" s="14" t="str">
        <f>HYPERLINK("https://mobile.twitter.com","Twitter Lite")</f>
        <v>Twitter Lite</v>
      </c>
      <c r="L423" s="13">
        <v>5</v>
      </c>
      <c r="M423" s="13">
        <v>0</v>
      </c>
      <c r="N423" s="13">
        <v>0</v>
      </c>
      <c r="O423" s="15"/>
      <c r="P423" s="6">
        <v>42431.941030092596</v>
      </c>
      <c r="Q423" s="12"/>
      <c r="R423" s="19"/>
      <c r="S423" s="12"/>
      <c r="T423" s="12"/>
      <c r="U423" s="10" t="str">
        <f>HYPERLINK("https://pbs.twimg.com/profile_images/705144978440384513/6vh1txMD.jpg","View")</f>
        <v>View</v>
      </c>
    </row>
    <row r="424" spans="1:21" ht="112.2">
      <c r="A424" s="6">
        <v>43442.408865740741</v>
      </c>
      <c r="B424" s="7" t="str">
        <f>HYPERLINK("https://twitter.com/santiagonavajas","@santiagonavajas")</f>
        <v>@santiagonavajas</v>
      </c>
      <c r="C424" s="8" t="s">
        <v>1806</v>
      </c>
      <c r="D424" s="9" t="s">
        <v>1807</v>
      </c>
      <c r="E424" s="10" t="str">
        <f>HYPERLINK("https://twitter.com/santiagonavajas/status/1071325702732042240","1071325702732042240")</f>
        <v>1071325702732042240</v>
      </c>
      <c r="F424" s="11" t="s">
        <v>931</v>
      </c>
      <c r="G424" s="11" t="s">
        <v>933</v>
      </c>
      <c r="H424" s="12"/>
      <c r="I424" s="13">
        <v>12</v>
      </c>
      <c r="J424" s="13">
        <v>13</v>
      </c>
      <c r="K424" s="14" t="str">
        <f t="shared" ref="K424:K425" si="71">HYPERLINK("http://twitter.com","Twitter Web Client")</f>
        <v>Twitter Web Client</v>
      </c>
      <c r="L424" s="13">
        <v>7837</v>
      </c>
      <c r="M424" s="13">
        <v>1040</v>
      </c>
      <c r="N424" s="13">
        <v>264</v>
      </c>
      <c r="O424" s="15"/>
      <c r="P424" s="6">
        <v>39756.594224537039</v>
      </c>
      <c r="Q424" s="16" t="s">
        <v>797</v>
      </c>
      <c r="R424" s="17" t="s">
        <v>1809</v>
      </c>
      <c r="S424" s="11" t="s">
        <v>1810</v>
      </c>
      <c r="T424" s="12"/>
      <c r="U424" s="10" t="str">
        <f>HYPERLINK("https://pbs.twimg.com/profile_images/1033680938335694848/_BDOcio_.jpg","View")</f>
        <v>View</v>
      </c>
    </row>
    <row r="425" spans="1:21" ht="30.6">
      <c r="A425" s="6">
        <v>43442.408842592587</v>
      </c>
      <c r="B425" s="7" t="str">
        <f>HYPERLINK("https://twitter.com/CatalanAnalyst","@CatalanAnalyst")</f>
        <v>@CatalanAnalyst</v>
      </c>
      <c r="C425" s="8" t="s">
        <v>586</v>
      </c>
      <c r="D425" s="9" t="s">
        <v>31</v>
      </c>
      <c r="E425" s="10" t="str">
        <f>HYPERLINK("https://twitter.com/CatalanAnalyst/status/1071325696000184321","1071325696000184321")</f>
        <v>1071325696000184321</v>
      </c>
      <c r="F425" s="11" t="s">
        <v>1811</v>
      </c>
      <c r="G425" s="12"/>
      <c r="H425" s="12"/>
      <c r="I425" s="13">
        <v>0</v>
      </c>
      <c r="J425" s="13">
        <v>0</v>
      </c>
      <c r="K425" s="14" t="str">
        <f t="shared" si="71"/>
        <v>Twitter Web Client</v>
      </c>
      <c r="L425" s="13">
        <v>1558</v>
      </c>
      <c r="M425" s="13">
        <v>1063</v>
      </c>
      <c r="N425" s="13">
        <v>56</v>
      </c>
      <c r="O425" s="15"/>
      <c r="P425" s="6">
        <v>42228.675289351857</v>
      </c>
      <c r="Q425" s="16" t="s">
        <v>589</v>
      </c>
      <c r="R425" s="21" t="s">
        <v>590</v>
      </c>
      <c r="S425" s="11" t="s">
        <v>593</v>
      </c>
      <c r="T425" s="12"/>
      <c r="U425" s="10" t="str">
        <f>HYPERLINK("https://pbs.twimg.com/profile_images/672374611246452738/oM1fXmFA.jpg","View")</f>
        <v>View</v>
      </c>
    </row>
    <row r="426" spans="1:21" ht="20.399999999999999">
      <c r="A426" s="6">
        <v>43442.408796296295</v>
      </c>
      <c r="B426" s="7" t="str">
        <f>HYPERLINK("https://twitter.com/galavictor","@galavictor")</f>
        <v>@galavictor</v>
      </c>
      <c r="C426" s="8" t="s">
        <v>1812</v>
      </c>
      <c r="D426" s="9" t="s">
        <v>1813</v>
      </c>
      <c r="E426" s="10" t="str">
        <f>HYPERLINK("https://twitter.com/galavictor/status/1071325678887493633","1071325678887493633")</f>
        <v>1071325678887493633</v>
      </c>
      <c r="F426" s="12"/>
      <c r="G426" s="12"/>
      <c r="H426" s="12"/>
      <c r="I426" s="13">
        <v>0</v>
      </c>
      <c r="J426" s="13">
        <v>0</v>
      </c>
      <c r="K426" s="14" t="str">
        <f>HYPERLINK("https://mobile.twitter.com","Twitter Lite")</f>
        <v>Twitter Lite</v>
      </c>
      <c r="L426" s="13">
        <v>7</v>
      </c>
      <c r="M426" s="13">
        <v>26</v>
      </c>
      <c r="N426" s="13">
        <v>0</v>
      </c>
      <c r="O426" s="15"/>
      <c r="P426" s="6">
        <v>40579.862326388888</v>
      </c>
      <c r="Q426" s="12"/>
      <c r="R426" s="17" t="s">
        <v>1814</v>
      </c>
      <c r="S426" s="12"/>
      <c r="T426" s="12"/>
      <c r="U426" s="10" t="str">
        <f>HYPERLINK("https://pbs.twimg.com/profile_images/807721728726171649/f3nRVx4K.jpg","View")</f>
        <v>View</v>
      </c>
    </row>
    <row r="427" spans="1:21" ht="13.2">
      <c r="A427" s="6">
        <v>43442.408564814818</v>
      </c>
      <c r="B427" s="7" t="str">
        <f>HYPERLINK("https://twitter.com/OttiMayo","@OttiMayo")</f>
        <v>@OttiMayo</v>
      </c>
      <c r="C427" s="8" t="s">
        <v>1815</v>
      </c>
      <c r="D427" s="9" t="s">
        <v>1175</v>
      </c>
      <c r="E427" s="10" t="str">
        <f>HYPERLINK("https://twitter.com/OttiMayo/status/1071325595265576961","1071325595265576961")</f>
        <v>1071325595265576961</v>
      </c>
      <c r="F427" s="11" t="s">
        <v>1176</v>
      </c>
      <c r="G427" s="12"/>
      <c r="H427" s="12"/>
      <c r="I427" s="13">
        <v>1</v>
      </c>
      <c r="J427" s="13">
        <v>0</v>
      </c>
      <c r="K427" s="14" t="str">
        <f>HYPERLINK("http://twitter.com","Twitter Web Client")</f>
        <v>Twitter Web Client</v>
      </c>
      <c r="L427" s="13">
        <v>491</v>
      </c>
      <c r="M427" s="13">
        <v>590</v>
      </c>
      <c r="N427" s="13">
        <v>11</v>
      </c>
      <c r="O427" s="15"/>
      <c r="P427" s="6">
        <v>41196.716874999998</v>
      </c>
      <c r="Q427" s="12"/>
      <c r="R427" s="17" t="s">
        <v>1816</v>
      </c>
      <c r="S427" s="12"/>
      <c r="T427" s="12"/>
      <c r="U427" s="10" t="str">
        <f>HYPERLINK("https://pbs.twimg.com/profile_images/746752096775577600/V3uwlUJn.jpg","View")</f>
        <v>View</v>
      </c>
    </row>
    <row r="428" spans="1:21" ht="51">
      <c r="A428" s="6">
        <v>43442.408530092594</v>
      </c>
      <c r="B428" s="7" t="str">
        <f>HYPERLINK("https://twitter.com/2Luminez","@2Luminez")</f>
        <v>@2Luminez</v>
      </c>
      <c r="C428" s="8" t="s">
        <v>566</v>
      </c>
      <c r="D428" s="9" t="s">
        <v>1817</v>
      </c>
      <c r="E428" s="10" t="str">
        <f>HYPERLINK("https://twitter.com/2Luminez/status/1071325581747331072","1071325581747331072")</f>
        <v>1071325581747331072</v>
      </c>
      <c r="F428" s="12"/>
      <c r="G428" s="12"/>
      <c r="H428" s="12"/>
      <c r="I428" s="13">
        <v>0</v>
      </c>
      <c r="J428" s="13">
        <v>0</v>
      </c>
      <c r="K428" s="14" t="str">
        <f>HYPERLINK("http://twitter.com/download/android","Twitter for Android")</f>
        <v>Twitter for Android</v>
      </c>
      <c r="L428" s="13">
        <v>139</v>
      </c>
      <c r="M428" s="13">
        <v>60</v>
      </c>
      <c r="N428" s="13">
        <v>4</v>
      </c>
      <c r="O428" s="15"/>
      <c r="P428" s="6">
        <v>41373.9846412037</v>
      </c>
      <c r="Q428" s="16" t="s">
        <v>653</v>
      </c>
      <c r="R428" s="17" t="s">
        <v>1818</v>
      </c>
      <c r="S428" s="12"/>
      <c r="T428" s="12"/>
      <c r="U428" s="10" t="str">
        <f>HYPERLINK("https://pbs.twimg.com/profile_images/378800000437549519/d27b1079f2e2df7f23c7fd6bc61774ee.jpeg","View")</f>
        <v>View</v>
      </c>
    </row>
    <row r="429" spans="1:21" ht="20.399999999999999">
      <c r="A429" s="6">
        <v>43442.407268518524</v>
      </c>
      <c r="B429" s="7" t="str">
        <f>HYPERLINK("https://twitter.com/Alfacebook64","@Alfacebook64")</f>
        <v>@Alfacebook64</v>
      </c>
      <c r="C429" s="8" t="s">
        <v>1783</v>
      </c>
      <c r="D429" s="9" t="s">
        <v>31</v>
      </c>
      <c r="E429" s="10" t="str">
        <f>HYPERLINK("https://twitter.com/Alfacebook64/status/1071325122311663616","1071325122311663616")</f>
        <v>1071325122311663616</v>
      </c>
      <c r="F429" s="11" t="s">
        <v>1731</v>
      </c>
      <c r="G429" s="12"/>
      <c r="H429" s="12"/>
      <c r="I429" s="13">
        <v>0</v>
      </c>
      <c r="J429" s="13">
        <v>0</v>
      </c>
      <c r="K429" s="14" t="str">
        <f>HYPERLINK("http://twitter.com/#!/download/ipad","Twitter for iPad")</f>
        <v>Twitter for iPad</v>
      </c>
      <c r="L429" s="13">
        <v>4246</v>
      </c>
      <c r="M429" s="13">
        <v>3515</v>
      </c>
      <c r="N429" s="13">
        <v>39</v>
      </c>
      <c r="O429" s="15"/>
      <c r="P429" s="6">
        <v>42189.951504629629</v>
      </c>
      <c r="Q429" s="16" t="s">
        <v>1785</v>
      </c>
      <c r="R429" s="17" t="s">
        <v>1786</v>
      </c>
      <c r="S429" s="12"/>
      <c r="T429" s="12"/>
      <c r="U429" s="10" t="str">
        <f>HYPERLINK("https://pbs.twimg.com/profile_images/636562609811099648/TOG_sQjr.jpg","View")</f>
        <v>View</v>
      </c>
    </row>
    <row r="430" spans="1:21" ht="30.6">
      <c r="A430" s="6">
        <v>43442.407129629632</v>
      </c>
      <c r="B430" s="7" t="str">
        <f>HYPERLINK("https://twitter.com/eduardoinda","@eduardoinda")</f>
        <v>@eduardoinda</v>
      </c>
      <c r="C430" s="8" t="s">
        <v>1819</v>
      </c>
      <c r="D430" s="9" t="s">
        <v>1820</v>
      </c>
      <c r="E430" s="10" t="str">
        <f>HYPERLINK("https://twitter.com/eduardoinda/status/1071325072353361921","1071325072353361921")</f>
        <v>1071325072353361921</v>
      </c>
      <c r="F430" s="11" t="s">
        <v>1821</v>
      </c>
      <c r="G430" s="12"/>
      <c r="H430" s="12"/>
      <c r="I430" s="13">
        <v>535</v>
      </c>
      <c r="J430" s="13">
        <v>310</v>
      </c>
      <c r="K430" s="14" t="str">
        <f>HYPERLINK("https://www.echobox.com","Echobox Social")</f>
        <v>Echobox Social</v>
      </c>
      <c r="L430" s="13">
        <v>87230</v>
      </c>
      <c r="M430" s="13">
        <v>136</v>
      </c>
      <c r="N430" s="13">
        <v>649</v>
      </c>
      <c r="O430" s="18" t="s">
        <v>41</v>
      </c>
      <c r="P430" s="6">
        <v>42412.515844907408</v>
      </c>
      <c r="Q430" s="12"/>
      <c r="R430" s="17" t="s">
        <v>1822</v>
      </c>
      <c r="S430" s="11" t="s">
        <v>1823</v>
      </c>
      <c r="T430" s="12"/>
      <c r="U430" s="10" t="str">
        <f>HYPERLINK("https://pbs.twimg.com/profile_images/698106393526722560/hA9Itqr5.jpg","View")</f>
        <v>View</v>
      </c>
    </row>
    <row r="431" spans="1:21" ht="61.2">
      <c r="A431" s="6">
        <v>43442.40524305556</v>
      </c>
      <c r="B431" s="7" t="str">
        <f>HYPERLINK("https://twitter.com/kevinruth63","@kevinruth63")</f>
        <v>@kevinruth63</v>
      </c>
      <c r="C431" s="8" t="s">
        <v>1824</v>
      </c>
      <c r="D431" s="9" t="s">
        <v>1825</v>
      </c>
      <c r="E431" s="10" t="str">
        <f>HYPERLINK("https://twitter.com/kevinruth63/status/1071324388480425984","1071324388480425984")</f>
        <v>1071324388480425984</v>
      </c>
      <c r="F431" s="11" t="s">
        <v>1826</v>
      </c>
      <c r="G431" s="11" t="s">
        <v>1827</v>
      </c>
      <c r="H431" s="12"/>
      <c r="I431" s="13">
        <v>0</v>
      </c>
      <c r="J431" s="13">
        <v>0</v>
      </c>
      <c r="K431" s="14" t="str">
        <f>HYPERLINK("http://twitter.com/download/iphone","Twitter for iPhone")</f>
        <v>Twitter for iPhone</v>
      </c>
      <c r="L431" s="13">
        <v>552</v>
      </c>
      <c r="M431" s="13">
        <v>520</v>
      </c>
      <c r="N431" s="13">
        <v>1</v>
      </c>
      <c r="O431" s="15"/>
      <c r="P431" s="6">
        <v>42795.759039351848</v>
      </c>
      <c r="Q431" s="16" t="s">
        <v>60</v>
      </c>
      <c r="R431" s="17" t="s">
        <v>1828</v>
      </c>
      <c r="S431" s="12"/>
      <c r="T431" s="12"/>
      <c r="U431" s="10" t="str">
        <f>HYPERLINK("https://pbs.twimg.com/profile_images/988706919434121216/GjfU2X3C.jpg","View")</f>
        <v>View</v>
      </c>
    </row>
    <row r="432" spans="1:21" ht="40.799999999999997">
      <c r="A432" s="6">
        <v>43442.404953703706</v>
      </c>
      <c r="B432" s="7" t="str">
        <f>HYPERLINK("https://twitter.com/pepelumur74","@pepelumur74")</f>
        <v>@pepelumur74</v>
      </c>
      <c r="C432" s="8" t="s">
        <v>1829</v>
      </c>
      <c r="D432" s="9" t="s">
        <v>1830</v>
      </c>
      <c r="E432" s="10" t="str">
        <f>HYPERLINK("https://twitter.com/pepelumur74/status/1071324285824835584","1071324285824835584")</f>
        <v>1071324285824835584</v>
      </c>
      <c r="F432" s="12"/>
      <c r="G432" s="12"/>
      <c r="H432" s="12"/>
      <c r="I432" s="13">
        <v>6</v>
      </c>
      <c r="J432" s="13">
        <v>5</v>
      </c>
      <c r="K432" s="14" t="str">
        <f>HYPERLINK("http://twitter.com/download/android","Twitter for Android")</f>
        <v>Twitter for Android</v>
      </c>
      <c r="L432" s="13">
        <v>222</v>
      </c>
      <c r="M432" s="13">
        <v>1030</v>
      </c>
      <c r="N432" s="13">
        <v>0</v>
      </c>
      <c r="O432" s="15"/>
      <c r="P432" s="6">
        <v>41849.982847222222</v>
      </c>
      <c r="Q432" s="12"/>
      <c r="R432" s="17" t="s">
        <v>1831</v>
      </c>
      <c r="S432" s="12"/>
      <c r="T432" s="12"/>
      <c r="U432" s="10" t="str">
        <f>HYPERLINK("https://pbs.twimg.com/profile_images/924272757843644416/Tuo0mI89.jpg","View")</f>
        <v>View</v>
      </c>
    </row>
    <row r="433" spans="1:21" ht="40.799999999999997">
      <c r="A433" s="6">
        <v>43442.403680555552</v>
      </c>
      <c r="B433" s="7" t="str">
        <f>HYPERLINK("https://twitter.com/miangova52","@miangova52")</f>
        <v>@miangova52</v>
      </c>
      <c r="C433" s="8" t="s">
        <v>1832</v>
      </c>
      <c r="D433" s="9" t="s">
        <v>1833</v>
      </c>
      <c r="E433" s="10" t="str">
        <f>HYPERLINK("https://twitter.com/miangova52/status/1071323822563966976","1071323822563966976")</f>
        <v>1071323822563966976</v>
      </c>
      <c r="F433" s="11" t="s">
        <v>1117</v>
      </c>
      <c r="G433" s="12"/>
      <c r="H433" s="12"/>
      <c r="I433" s="13">
        <v>0</v>
      </c>
      <c r="J433" s="13">
        <v>0</v>
      </c>
      <c r="K433" s="14" t="str">
        <f>HYPERLINK("http://twitter.com/#!/download/ipad","Twitter for iPad")</f>
        <v>Twitter for iPad</v>
      </c>
      <c r="L433" s="13">
        <v>170</v>
      </c>
      <c r="M433" s="13">
        <v>1035</v>
      </c>
      <c r="N433" s="13">
        <v>3</v>
      </c>
      <c r="O433" s="15"/>
      <c r="P433" s="6">
        <v>41210.901041666664</v>
      </c>
      <c r="Q433" s="16" t="s">
        <v>797</v>
      </c>
      <c r="R433" s="17" t="s">
        <v>1836</v>
      </c>
      <c r="S433" s="11" t="s">
        <v>1837</v>
      </c>
      <c r="T433" s="12"/>
      <c r="U433" s="10" t="str">
        <f>HYPERLINK("https://pbs.twimg.com/profile_images/1063835534018207745/x5WXiHJ1.jpg","View")</f>
        <v>View</v>
      </c>
    </row>
    <row r="434" spans="1:21" ht="40.799999999999997">
      <c r="A434" s="6">
        <v>43442.402777777781</v>
      </c>
      <c r="B434" s="7" t="str">
        <f>HYPERLINK("https://twitter.com/120minutosTM","@120minutosTM")</f>
        <v>@120minutosTM</v>
      </c>
      <c r="C434" s="8" t="s">
        <v>1432</v>
      </c>
      <c r="D434" s="9" t="s">
        <v>1838</v>
      </c>
      <c r="E434" s="10" t="str">
        <f>HYPERLINK("https://twitter.com/120minutosTM/status/1071323495030812672","1071323495030812672")</f>
        <v>1071323495030812672</v>
      </c>
      <c r="F434" s="11" t="s">
        <v>1839</v>
      </c>
      <c r="G434" s="11" t="s">
        <v>1840</v>
      </c>
      <c r="H434" s="12"/>
      <c r="I434" s="13">
        <v>0</v>
      </c>
      <c r="J434" s="13">
        <v>1</v>
      </c>
      <c r="K434" s="14" t="str">
        <f>HYPERLINK("http://dogtrack.es","DogTrack_Oficial")</f>
        <v>DogTrack_Oficial</v>
      </c>
      <c r="L434" s="13">
        <v>1686</v>
      </c>
      <c r="M434" s="13">
        <v>212</v>
      </c>
      <c r="N434" s="13">
        <v>18</v>
      </c>
      <c r="O434" s="15"/>
      <c r="P434" s="6">
        <v>43129.453402777777</v>
      </c>
      <c r="Q434" s="16" t="s">
        <v>26</v>
      </c>
      <c r="R434" s="17" t="s">
        <v>1436</v>
      </c>
      <c r="S434" s="11" t="s">
        <v>1437</v>
      </c>
      <c r="T434" s="12"/>
      <c r="U434" s="10" t="str">
        <f>HYPERLINK("https://pbs.twimg.com/profile_images/1008997691165200384/SMjhDWGJ.jpg","View")</f>
        <v>View</v>
      </c>
    </row>
    <row r="435" spans="1:21" ht="40.799999999999997">
      <c r="A435" s="6">
        <v>43442.401724537034</v>
      </c>
      <c r="B435" s="7" t="str">
        <f>HYPERLINK("https://twitter.com/NachoJ69","@NachoJ69")</f>
        <v>@NachoJ69</v>
      </c>
      <c r="C435" s="8" t="s">
        <v>1841</v>
      </c>
      <c r="D435" s="9" t="s">
        <v>1842</v>
      </c>
      <c r="E435" s="10" t="str">
        <f>HYPERLINK("https://twitter.com/NachoJ69/status/1071323115853099008","1071323115853099008")</f>
        <v>1071323115853099008</v>
      </c>
      <c r="F435" s="11" t="s">
        <v>1843</v>
      </c>
      <c r="G435" s="12"/>
      <c r="H435" s="12"/>
      <c r="I435" s="13">
        <v>0</v>
      </c>
      <c r="J435" s="13">
        <v>0</v>
      </c>
      <c r="K435" s="14" t="str">
        <f>HYPERLINK("http://twitter.com/download/iphone","Twitter for iPhone")</f>
        <v>Twitter for iPhone</v>
      </c>
      <c r="L435" s="13">
        <v>70</v>
      </c>
      <c r="M435" s="13">
        <v>184</v>
      </c>
      <c r="N435" s="13">
        <v>4</v>
      </c>
      <c r="O435" s="15"/>
      <c r="P435" s="6">
        <v>40493.454444444447</v>
      </c>
      <c r="Q435" s="12"/>
      <c r="R435" s="19"/>
      <c r="S435" s="12"/>
      <c r="T435" s="12"/>
      <c r="U435" s="10" t="str">
        <f>HYPERLINK("https://pbs.twimg.com/profile_images/1022440436537942016/xT0b0GZK.jpg","View")</f>
        <v>View</v>
      </c>
    </row>
    <row r="436" spans="1:21" ht="51">
      <c r="A436" s="6">
        <v>43442.401076388887</v>
      </c>
      <c r="B436" s="7" t="str">
        <f>HYPERLINK("https://twitter.com/quasimito","@quasimito")</f>
        <v>@quasimito</v>
      </c>
      <c r="C436" s="8" t="s">
        <v>1844</v>
      </c>
      <c r="D436" s="9" t="s">
        <v>1845</v>
      </c>
      <c r="E436" s="10" t="str">
        <f>HYPERLINK("https://twitter.com/quasimito/status/1071322880884002816","1071322880884002816")</f>
        <v>1071322880884002816</v>
      </c>
      <c r="F436" s="11" t="s">
        <v>1846</v>
      </c>
      <c r="G436" s="12"/>
      <c r="H436" s="12"/>
      <c r="I436" s="13">
        <v>0</v>
      </c>
      <c r="J436" s="13">
        <v>2</v>
      </c>
      <c r="K436" s="14" t="str">
        <f>HYPERLINK("http://twitter.com/download/android","Twitter for Android")</f>
        <v>Twitter for Android</v>
      </c>
      <c r="L436" s="13">
        <v>1540</v>
      </c>
      <c r="M436" s="13">
        <v>299</v>
      </c>
      <c r="N436" s="13">
        <v>29</v>
      </c>
      <c r="O436" s="15"/>
      <c r="P436" s="6">
        <v>41432.991064814814</v>
      </c>
      <c r="Q436" s="12"/>
      <c r="R436" s="17" t="s">
        <v>1847</v>
      </c>
      <c r="S436" s="12"/>
      <c r="T436" s="12"/>
      <c r="U436" s="10" t="str">
        <f>HYPERLINK("https://pbs.twimg.com/profile_images/1054490909394513920/4rNu_54-.jpg","View")</f>
        <v>View</v>
      </c>
    </row>
    <row r="437" spans="1:21" ht="40.799999999999997">
      <c r="A437" s="6">
        <v>43442.400219907402</v>
      </c>
      <c r="B437" s="7" t="str">
        <f>HYPERLINK("https://twitter.com/angelmoraviles","@angelmoraviles")</f>
        <v>@angelmoraviles</v>
      </c>
      <c r="C437" s="8" t="s">
        <v>1848</v>
      </c>
      <c r="D437" s="9" t="s">
        <v>1514</v>
      </c>
      <c r="E437" s="10" t="str">
        <f>HYPERLINK("https://twitter.com/angelmoraviles/status/1071322567758307328","1071322567758307328")</f>
        <v>1071322567758307328</v>
      </c>
      <c r="F437" s="11" t="s">
        <v>246</v>
      </c>
      <c r="G437" s="12"/>
      <c r="H437" s="12"/>
      <c r="I437" s="13">
        <v>0</v>
      </c>
      <c r="J437" s="13">
        <v>0</v>
      </c>
      <c r="K437" s="14" t="str">
        <f t="shared" ref="K437:K438" si="72">HYPERLINK("http://twitter.com","Twitter Web Client")</f>
        <v>Twitter Web Client</v>
      </c>
      <c r="L437" s="13">
        <v>901</v>
      </c>
      <c r="M437" s="13">
        <v>614</v>
      </c>
      <c r="N437" s="13">
        <v>68</v>
      </c>
      <c r="O437" s="15"/>
      <c r="P437" s="6">
        <v>41028.87190972222</v>
      </c>
      <c r="Q437" s="12"/>
      <c r="R437" s="17" t="s">
        <v>1849</v>
      </c>
      <c r="S437" s="12"/>
      <c r="T437" s="12"/>
      <c r="U437" s="10" t="str">
        <f>HYPERLINK("https://pbs.twimg.com/profile_images/968152522736140289/hHVEckb9.jpg","View")</f>
        <v>View</v>
      </c>
    </row>
    <row r="438" spans="1:21" ht="20.399999999999999">
      <c r="A438" s="6">
        <v>43442.399131944447</v>
      </c>
      <c r="B438" s="7" t="str">
        <f>HYPERLINK("https://twitter.com/Jose55351568","@Jose55351568")</f>
        <v>@Jose55351568</v>
      </c>
      <c r="C438" s="8" t="s">
        <v>1850</v>
      </c>
      <c r="D438" s="9" t="s">
        <v>1851</v>
      </c>
      <c r="E438" s="10" t="str">
        <f>HYPERLINK("https://twitter.com/Jose55351568/status/1071322177100808192","1071322177100808192")</f>
        <v>1071322177100808192</v>
      </c>
      <c r="F438" s="11" t="s">
        <v>1852</v>
      </c>
      <c r="G438" s="12"/>
      <c r="H438" s="12"/>
      <c r="I438" s="13">
        <v>0</v>
      </c>
      <c r="J438" s="13">
        <v>0</v>
      </c>
      <c r="K438" s="14" t="str">
        <f t="shared" si="72"/>
        <v>Twitter Web Client</v>
      </c>
      <c r="L438" s="13">
        <v>136</v>
      </c>
      <c r="M438" s="13">
        <v>182</v>
      </c>
      <c r="N438" s="13">
        <v>2</v>
      </c>
      <c r="O438" s="15"/>
      <c r="P438" s="6">
        <v>41912.962604166663</v>
      </c>
      <c r="Q438" s="16" t="s">
        <v>1853</v>
      </c>
      <c r="R438" s="19"/>
      <c r="S438" s="12"/>
      <c r="T438" s="12"/>
      <c r="U438" s="10" t="str">
        <f>HYPERLINK("https://pbs.twimg.com/profile_images/1024048043912507392/u85f9rfF.jpg","View")</f>
        <v>View</v>
      </c>
    </row>
    <row r="439" spans="1:21" ht="71.400000000000006">
      <c r="A439" s="6">
        <v>43442.399062500001</v>
      </c>
      <c r="B439" s="7" t="str">
        <f>HYPERLINK("https://twitter.com/NosManipulan","@NosManipulan")</f>
        <v>@NosManipulan</v>
      </c>
      <c r="C439" s="8" t="s">
        <v>1854</v>
      </c>
      <c r="D439" s="9" t="s">
        <v>1855</v>
      </c>
      <c r="E439" s="10" t="str">
        <f>HYPERLINK("https://twitter.com/NosManipulan/status/1071322148952858624","1071322148952858624")</f>
        <v>1071322148952858624</v>
      </c>
      <c r="F439" s="11" t="s">
        <v>1856</v>
      </c>
      <c r="G439" s="12"/>
      <c r="H439" s="12"/>
      <c r="I439" s="13">
        <v>0</v>
      </c>
      <c r="J439" s="13">
        <v>2</v>
      </c>
      <c r="K439" s="14" t="str">
        <f>HYPERLINK("http://twitter.com/download/iphone","Twitter for iPhone")</f>
        <v>Twitter for iPhone</v>
      </c>
      <c r="L439" s="13">
        <v>4394</v>
      </c>
      <c r="M439" s="13">
        <v>105</v>
      </c>
      <c r="N439" s="13">
        <v>16</v>
      </c>
      <c r="O439" s="15"/>
      <c r="P439" s="6">
        <v>42745.620590277773</v>
      </c>
      <c r="Q439" s="16" t="s">
        <v>1857</v>
      </c>
      <c r="R439" s="17" t="s">
        <v>1858</v>
      </c>
      <c r="S439" s="12"/>
      <c r="T439" s="12"/>
      <c r="U439" s="10" t="str">
        <f>HYPERLINK("https://pbs.twimg.com/profile_images/1060533454692061184/R6vwgClF.jpg","View")</f>
        <v>View</v>
      </c>
    </row>
    <row r="440" spans="1:21" ht="30.6">
      <c r="A440" s="6">
        <v>43442.398240740746</v>
      </c>
      <c r="B440" s="7" t="str">
        <f>HYPERLINK("https://twitter.com/RMrosacastny","@RMrosacastny")</f>
        <v>@RMrosacastny</v>
      </c>
      <c r="C440" s="8" t="s">
        <v>1859</v>
      </c>
      <c r="D440" s="9" t="s">
        <v>1860</v>
      </c>
      <c r="E440" s="10" t="str">
        <f>HYPERLINK("https://twitter.com/RMrosacastny/status/1071321854328098816","1071321854328098816")</f>
        <v>1071321854328098816</v>
      </c>
      <c r="F440" s="11" t="s">
        <v>1861</v>
      </c>
      <c r="G440" s="12"/>
      <c r="H440" s="12"/>
      <c r="I440" s="13">
        <v>0</v>
      </c>
      <c r="J440" s="13">
        <v>0</v>
      </c>
      <c r="K440" s="14" t="str">
        <f>HYPERLINK("http://twitter.com/#!/download/ipad","Twitter for iPad")</f>
        <v>Twitter for iPad</v>
      </c>
      <c r="L440" s="13">
        <v>753</v>
      </c>
      <c r="M440" s="13">
        <v>815</v>
      </c>
      <c r="N440" s="13">
        <v>3</v>
      </c>
      <c r="O440" s="15"/>
      <c r="P440" s="6">
        <v>42658.697893518518</v>
      </c>
      <c r="Q440" s="12"/>
      <c r="R440" s="19"/>
      <c r="S440" s="12"/>
      <c r="T440" s="12"/>
      <c r="U440" s="10" t="str">
        <f>HYPERLINK("https://pbs.twimg.com/profile_images/1063767762374459392/ujLvy3jw.jpg","View")</f>
        <v>View</v>
      </c>
    </row>
    <row r="441" spans="1:21" ht="20.399999999999999">
      <c r="A441" s="6">
        <v>43442.397222222222</v>
      </c>
      <c r="B441" s="7" t="str">
        <f>HYPERLINK("https://twitter.com/Julianvirome","@Julianvirome")</f>
        <v>@Julianvirome</v>
      </c>
      <c r="C441" s="8" t="s">
        <v>1034</v>
      </c>
      <c r="D441" s="9" t="s">
        <v>1862</v>
      </c>
      <c r="E441" s="10" t="str">
        <f>HYPERLINK("https://twitter.com/Julianvirome/status/1071321482050064384","1071321482050064384")</f>
        <v>1071321482050064384</v>
      </c>
      <c r="F441" s="11" t="s">
        <v>1863</v>
      </c>
      <c r="G441" s="12"/>
      <c r="H441" s="12"/>
      <c r="I441" s="13">
        <v>0</v>
      </c>
      <c r="J441" s="13">
        <v>0</v>
      </c>
      <c r="K441" s="14" t="str">
        <f t="shared" ref="K441:K442" si="73">HYPERLINK("http://twitter.com/download/android","Twitter for Android")</f>
        <v>Twitter for Android</v>
      </c>
      <c r="L441" s="13">
        <v>2630</v>
      </c>
      <c r="M441" s="13">
        <v>4994</v>
      </c>
      <c r="N441" s="13">
        <v>23</v>
      </c>
      <c r="O441" s="15"/>
      <c r="P441" s="6">
        <v>40630.875810185185</v>
      </c>
      <c r="Q441" s="16" t="s">
        <v>200</v>
      </c>
      <c r="R441" s="17" t="s">
        <v>1037</v>
      </c>
      <c r="S441" s="12"/>
      <c r="T441" s="12"/>
      <c r="U441" s="10" t="str">
        <f>HYPERLINK("https://pbs.twimg.com/profile_images/1015475281803530241/aBROVKXy.jpg","View")</f>
        <v>View</v>
      </c>
    </row>
    <row r="442" spans="1:21" ht="51">
      <c r="A442" s="6">
        <v>43442.392384259263</v>
      </c>
      <c r="B442" s="7" t="str">
        <f>HYPERLINK("https://twitter.com/JordiRengel","@JordiRengel")</f>
        <v>@JordiRengel</v>
      </c>
      <c r="C442" s="8" t="s">
        <v>1865</v>
      </c>
      <c r="D442" s="9" t="s">
        <v>1866</v>
      </c>
      <c r="E442" s="10" t="str">
        <f>HYPERLINK("https://twitter.com/JordiRengel/status/1071319729002954752","1071319729002954752")</f>
        <v>1071319729002954752</v>
      </c>
      <c r="F442" s="11" t="s">
        <v>114</v>
      </c>
      <c r="G442" s="12"/>
      <c r="H442" s="12"/>
      <c r="I442" s="13">
        <v>0</v>
      </c>
      <c r="J442" s="13">
        <v>0</v>
      </c>
      <c r="K442" s="14" t="str">
        <f t="shared" si="73"/>
        <v>Twitter for Android</v>
      </c>
      <c r="L442" s="13">
        <v>368</v>
      </c>
      <c r="M442" s="13">
        <v>2259</v>
      </c>
      <c r="N442" s="13">
        <v>5</v>
      </c>
      <c r="O442" s="15"/>
      <c r="P442" s="6">
        <v>42370.673391203702</v>
      </c>
      <c r="Q442" s="16" t="s">
        <v>1867</v>
      </c>
      <c r="R442" s="17" t="s">
        <v>1868</v>
      </c>
      <c r="S442" s="12"/>
      <c r="T442" s="12"/>
      <c r="U442" s="10" t="str">
        <f>HYPERLINK("https://pbs.twimg.com/profile_images/1036262714912518144/O2g2sHij.jpg","View")</f>
        <v>View</v>
      </c>
    </row>
    <row r="443" spans="1:21" ht="40.799999999999997">
      <c r="A443" s="6">
        <v>43442.392094907409</v>
      </c>
      <c r="B443" s="7" t="str">
        <f>HYPERLINK("https://twitter.com/enriquefmiranda","@enriquefmiranda")</f>
        <v>@enriquefmiranda</v>
      </c>
      <c r="C443" s="8" t="s">
        <v>1869</v>
      </c>
      <c r="D443" s="9" t="s">
        <v>1870</v>
      </c>
      <c r="E443" s="10" t="str">
        <f>HYPERLINK("https://twitter.com/enriquefmiranda/status/1071319623382024192","1071319623382024192")</f>
        <v>1071319623382024192</v>
      </c>
      <c r="F443" s="11" t="s">
        <v>246</v>
      </c>
      <c r="G443" s="12"/>
      <c r="H443" s="12"/>
      <c r="I443" s="13">
        <v>13</v>
      </c>
      <c r="J443" s="13">
        <v>20</v>
      </c>
      <c r="K443" s="14" t="str">
        <f>HYPERLINK("http://twitter.com/#!/download/ipad","Twitter for iPad")</f>
        <v>Twitter for iPad</v>
      </c>
      <c r="L443" s="13">
        <v>4724</v>
      </c>
      <c r="M443" s="13">
        <v>3893</v>
      </c>
      <c r="N443" s="13">
        <v>51</v>
      </c>
      <c r="O443" s="15"/>
      <c r="P443" s="6">
        <v>41171.99559027778</v>
      </c>
      <c r="Q443" s="16" t="s">
        <v>1871</v>
      </c>
      <c r="R443" s="17" t="s">
        <v>1872</v>
      </c>
      <c r="S443" s="12"/>
      <c r="T443" s="12"/>
      <c r="U443" s="10" t="str">
        <f>HYPERLINK("https://pbs.twimg.com/profile_images/1052565796801536000/0GbW9kmA.jpg","View")</f>
        <v>View</v>
      </c>
    </row>
    <row r="444" spans="1:21" ht="40.799999999999997">
      <c r="A444" s="6">
        <v>43442.390474537038</v>
      </c>
      <c r="B444" s="7" t="str">
        <f>HYPERLINK("https://twitter.com/Ke_Les_Den","@Ke_Les_Den")</f>
        <v>@Ke_Les_Den</v>
      </c>
      <c r="C444" s="8" t="s">
        <v>1873</v>
      </c>
      <c r="D444" s="9" t="s">
        <v>1874</v>
      </c>
      <c r="E444" s="10" t="str">
        <f>HYPERLINK("https://twitter.com/Ke_Les_Den/status/1071319039878807552","1071319039878807552")</f>
        <v>1071319039878807552</v>
      </c>
      <c r="F444" s="11" t="s">
        <v>696</v>
      </c>
      <c r="G444" s="12"/>
      <c r="H444" s="12"/>
      <c r="I444" s="13">
        <v>67</v>
      </c>
      <c r="J444" s="13">
        <v>65</v>
      </c>
      <c r="K444" s="14" t="str">
        <f>HYPERLINK("http://twitter.com","Twitter Web Client")</f>
        <v>Twitter Web Client</v>
      </c>
      <c r="L444" s="13">
        <v>863</v>
      </c>
      <c r="M444" s="13">
        <v>1976</v>
      </c>
      <c r="N444" s="13">
        <v>1</v>
      </c>
      <c r="O444" s="15"/>
      <c r="P444" s="6">
        <v>42849.633483796293</v>
      </c>
      <c r="Q444" s="12"/>
      <c r="R444" s="17" t="s">
        <v>1875</v>
      </c>
      <c r="S444" s="12"/>
      <c r="T444" s="12"/>
      <c r="U444" s="10" t="str">
        <f>HYPERLINK("https://pbs.twimg.com/profile_images/856777751755358208/AquT2MXe.jpg","View")</f>
        <v>View</v>
      </c>
    </row>
    <row r="445" spans="1:21" ht="40.799999999999997">
      <c r="A445" s="6">
        <v>43442.390439814815</v>
      </c>
      <c r="B445" s="7" t="str">
        <f>HYPERLINK("https://twitter.com/ENGINEER_28","@ENGINEER_28")</f>
        <v>@ENGINEER_28</v>
      </c>
      <c r="C445" s="8" t="s">
        <v>966</v>
      </c>
      <c r="D445" s="9" t="s">
        <v>1876</v>
      </c>
      <c r="E445" s="10" t="str">
        <f>HYPERLINK("https://twitter.com/ENGINEER_28/status/1071319025190359040","1071319025190359040")</f>
        <v>1071319025190359040</v>
      </c>
      <c r="F445" s="16" t="s">
        <v>1877</v>
      </c>
      <c r="G445" s="12"/>
      <c r="H445" s="12"/>
      <c r="I445" s="13">
        <v>0</v>
      </c>
      <c r="J445" s="13">
        <v>1</v>
      </c>
      <c r="K445" s="14" t="str">
        <f>HYPERLINK("http://twitter.com/download/iphone","Twitter for iPhone")</f>
        <v>Twitter for iPhone</v>
      </c>
      <c r="L445" s="13">
        <v>5859</v>
      </c>
      <c r="M445" s="13">
        <v>2752</v>
      </c>
      <c r="N445" s="13">
        <v>86</v>
      </c>
      <c r="O445" s="15"/>
      <c r="P445" s="6">
        <v>40271.588877314818</v>
      </c>
      <c r="Q445" s="12"/>
      <c r="R445" s="17" t="s">
        <v>968</v>
      </c>
      <c r="S445" s="12"/>
      <c r="T445" s="12"/>
      <c r="U445" s="10" t="str">
        <f>HYPERLINK("https://pbs.twimg.com/profile_images/1069171213396787201/PFW_igss.jpg","View")</f>
        <v>View</v>
      </c>
    </row>
    <row r="446" spans="1:21" ht="51">
      <c r="A446" s="6">
        <v>43442.389907407407</v>
      </c>
      <c r="B446" s="7" t="str">
        <f>HYPERLINK("https://twitter.com/JavierMarn5","@JavierMarn5")</f>
        <v>@JavierMarn5</v>
      </c>
      <c r="C446" s="8" t="s">
        <v>1878</v>
      </c>
      <c r="D446" s="9" t="s">
        <v>1879</v>
      </c>
      <c r="E446" s="10" t="str">
        <f>HYPERLINK("https://twitter.com/JavierMarn5/status/1071318833527447553","1071318833527447553")</f>
        <v>1071318833527447553</v>
      </c>
      <c r="F446" s="12"/>
      <c r="G446" s="12"/>
      <c r="H446" s="12"/>
      <c r="I446" s="13">
        <v>0</v>
      </c>
      <c r="J446" s="13">
        <v>0</v>
      </c>
      <c r="K446" s="14" t="str">
        <f>HYPERLINK("http://twitter.com/download/android","Twitter for Android")</f>
        <v>Twitter for Android</v>
      </c>
      <c r="L446" s="13">
        <v>199</v>
      </c>
      <c r="M446" s="13">
        <v>191</v>
      </c>
      <c r="N446" s="13">
        <v>6</v>
      </c>
      <c r="O446" s="15"/>
      <c r="P446" s="6">
        <v>41140.725358796299</v>
      </c>
      <c r="Q446" s="12"/>
      <c r="R446" s="17" t="s">
        <v>1880</v>
      </c>
      <c r="S446" s="12"/>
      <c r="T446" s="12"/>
      <c r="U446" s="10" t="str">
        <f>HYPERLINK("https://pbs.twimg.com/profile_images/2521565015/z8nuyv3siuw8j1xsmm4t.jpeg","View")</f>
        <v>View</v>
      </c>
    </row>
    <row r="447" spans="1:21" ht="40.799999999999997">
      <c r="A447" s="6">
        <v>43442.389687499999</v>
      </c>
      <c r="B447" s="7" t="str">
        <f>HYPERLINK("https://twitter.com/CasaRuralLoSoto","@CasaRuralLoSoto")</f>
        <v>@CasaRuralLoSoto</v>
      </c>
      <c r="C447" s="8" t="s">
        <v>1882</v>
      </c>
      <c r="D447" s="9" t="s">
        <v>1883</v>
      </c>
      <c r="E447" s="10" t="str">
        <f>HYPERLINK("https://twitter.com/CasaRuralLoSoto/status/1071318754452271104","1071318754452271104")</f>
        <v>1071318754452271104</v>
      </c>
      <c r="F447" s="11" t="s">
        <v>1884</v>
      </c>
      <c r="G447" s="12"/>
      <c r="H447" s="12"/>
      <c r="I447" s="13">
        <v>0</v>
      </c>
      <c r="J447" s="13">
        <v>0</v>
      </c>
      <c r="K447" s="14" t="str">
        <f>HYPERLINK("http://www.facebook.com/twitter","Facebook")</f>
        <v>Facebook</v>
      </c>
      <c r="L447" s="13">
        <v>342</v>
      </c>
      <c r="M447" s="13">
        <v>121</v>
      </c>
      <c r="N447" s="13">
        <v>10</v>
      </c>
      <c r="O447" s="15"/>
      <c r="P447" s="6">
        <v>41192.790844907409</v>
      </c>
      <c r="Q447" s="16" t="s">
        <v>1885</v>
      </c>
      <c r="R447" s="17" t="s">
        <v>1886</v>
      </c>
      <c r="S447" s="11" t="s">
        <v>1887</v>
      </c>
      <c r="T447" s="12"/>
      <c r="U447" s="10" t="str">
        <f>HYPERLINK("https://pbs.twimg.com/profile_images/3672653747/9786c49f490f320eda0ffdc686fea21a.jpeg","View")</f>
        <v>View</v>
      </c>
    </row>
    <row r="448" spans="1:21" ht="40.799999999999997">
      <c r="A448" s="6">
        <v>43442.389467592591</v>
      </c>
      <c r="B448" s="7" t="str">
        <f>HYPERLINK("https://twitter.com/ANeiraL","@ANeiraL")</f>
        <v>@ANeiraL</v>
      </c>
      <c r="C448" s="8" t="s">
        <v>1888</v>
      </c>
      <c r="D448" s="9" t="s">
        <v>1889</v>
      </c>
      <c r="E448" s="10" t="str">
        <f>HYPERLINK("https://twitter.com/ANeiraL/status/1071318674781409281","1071318674781409281")</f>
        <v>1071318674781409281</v>
      </c>
      <c r="F448" s="12"/>
      <c r="G448" s="11" t="s">
        <v>1890</v>
      </c>
      <c r="H448" s="12"/>
      <c r="I448" s="13">
        <v>0</v>
      </c>
      <c r="J448" s="13">
        <v>0</v>
      </c>
      <c r="K448" s="14" t="str">
        <f>HYPERLINK("http://twitter.com/download/android","Twitter for Android")</f>
        <v>Twitter for Android</v>
      </c>
      <c r="L448" s="13">
        <v>853</v>
      </c>
      <c r="M448" s="13">
        <v>505</v>
      </c>
      <c r="N448" s="13">
        <v>33</v>
      </c>
      <c r="O448" s="15"/>
      <c r="P448" s="6">
        <v>40617.489664351851</v>
      </c>
      <c r="Q448" s="16" t="s">
        <v>1891</v>
      </c>
      <c r="R448" s="17" t="s">
        <v>1892</v>
      </c>
      <c r="S448" s="11" t="s">
        <v>1893</v>
      </c>
      <c r="T448" s="12"/>
      <c r="U448" s="10" t="str">
        <f>HYPERLINK("https://pbs.twimg.com/profile_images/1065269341778845696/2w8d-ZcM.jpg","View")</f>
        <v>View</v>
      </c>
    </row>
    <row r="449" spans="1:21" ht="20.399999999999999">
      <c r="A449" s="6">
        <v>43442.389456018514</v>
      </c>
      <c r="B449" s="7" t="str">
        <f>HYPERLINK("https://twitter.com/CasoAislado_Es","@CasoAislado_Es")</f>
        <v>@CasoAislado_Es</v>
      </c>
      <c r="C449" s="8" t="s">
        <v>1894</v>
      </c>
      <c r="D449" s="9" t="s">
        <v>1895</v>
      </c>
      <c r="E449" s="10" t="str">
        <f>HYPERLINK("https://twitter.com/CasoAislado_Es/status/1071318670083846144","1071318670083846144")</f>
        <v>1071318670083846144</v>
      </c>
      <c r="F449" s="11" t="s">
        <v>530</v>
      </c>
      <c r="G449" s="12"/>
      <c r="H449" s="12"/>
      <c r="I449" s="13">
        <v>59</v>
      </c>
      <c r="J449" s="13">
        <v>33</v>
      </c>
      <c r="K449" s="14" t="str">
        <f>HYPERLINK("http://twitter.com","Twitter Web Client")</f>
        <v>Twitter Web Client</v>
      </c>
      <c r="L449" s="13">
        <v>21475</v>
      </c>
      <c r="M449" s="13">
        <v>6353</v>
      </c>
      <c r="N449" s="13">
        <v>153</v>
      </c>
      <c r="O449" s="15"/>
      <c r="P449" s="6">
        <v>40257.560439814813</v>
      </c>
      <c r="Q449" s="16" t="s">
        <v>653</v>
      </c>
      <c r="R449" s="17" t="s">
        <v>1896</v>
      </c>
      <c r="S449" s="11" t="s">
        <v>1897</v>
      </c>
      <c r="T449" s="12"/>
      <c r="U449" s="10" t="str">
        <f>HYPERLINK("https://pbs.twimg.com/profile_images/818503412702707713/QK1J8CEn.jpg","View")</f>
        <v>View</v>
      </c>
    </row>
    <row r="450" spans="1:21" ht="51">
      <c r="A450" s="6">
        <v>43442.388217592597</v>
      </c>
      <c r="B450" s="7" t="str">
        <f>HYPERLINK("https://twitter.com/francisnova_145","@francisnova_145")</f>
        <v>@francisnova_145</v>
      </c>
      <c r="C450" s="8" t="s">
        <v>1898</v>
      </c>
      <c r="D450" s="9" t="s">
        <v>1899</v>
      </c>
      <c r="E450" s="10" t="str">
        <f>HYPERLINK("https://twitter.com/francisnova_145/status/1071318221691731968","1071318221691731968")</f>
        <v>1071318221691731968</v>
      </c>
      <c r="F450" s="12"/>
      <c r="G450" s="11" t="s">
        <v>1900</v>
      </c>
      <c r="H450" s="12"/>
      <c r="I450" s="13">
        <v>2</v>
      </c>
      <c r="J450" s="13">
        <v>2</v>
      </c>
      <c r="K450" s="14" t="str">
        <f>HYPERLINK("http://twitter.com/download/android","Twitter for Android")</f>
        <v>Twitter for Android</v>
      </c>
      <c r="L450" s="13">
        <v>3392</v>
      </c>
      <c r="M450" s="13">
        <v>5003</v>
      </c>
      <c r="N450" s="13">
        <v>22</v>
      </c>
      <c r="O450" s="15"/>
      <c r="P450" s="6">
        <v>40602.003807870373</v>
      </c>
      <c r="Q450" s="12"/>
      <c r="R450" s="17" t="s">
        <v>1901</v>
      </c>
      <c r="S450" s="12"/>
      <c r="T450" s="12"/>
      <c r="U450" s="10" t="str">
        <f>HYPERLINK("https://pbs.twimg.com/profile_images/819656530706518016/9P6i7t9y.jpg","View")</f>
        <v>View</v>
      </c>
    </row>
    <row r="451" spans="1:21" ht="20.399999999999999">
      <c r="A451" s="6">
        <v>43442.387384259258</v>
      </c>
      <c r="B451" s="7" t="str">
        <f>HYPERLINK("https://twitter.com/juaninunezlara","@juaninunezlara")</f>
        <v>@juaninunezlara</v>
      </c>
      <c r="C451" s="8" t="s">
        <v>1902</v>
      </c>
      <c r="D451" s="9" t="s">
        <v>1903</v>
      </c>
      <c r="E451" s="10" t="str">
        <f>HYPERLINK("https://twitter.com/juaninunezlara/status/1071317917990559744","1071317917990559744")</f>
        <v>1071317917990559744</v>
      </c>
      <c r="F451" s="11" t="s">
        <v>1904</v>
      </c>
      <c r="G451" s="12"/>
      <c r="H451" s="12"/>
      <c r="I451" s="13">
        <v>2</v>
      </c>
      <c r="J451" s="13">
        <v>1</v>
      </c>
      <c r="K451" s="14" t="str">
        <f>HYPERLINK("http://twitter.com","Twitter Web Client")</f>
        <v>Twitter Web Client</v>
      </c>
      <c r="L451" s="13">
        <v>1980</v>
      </c>
      <c r="M451" s="13">
        <v>3177</v>
      </c>
      <c r="N451" s="13">
        <v>17</v>
      </c>
      <c r="O451" s="15"/>
      <c r="P451" s="6">
        <v>40610.039097222223</v>
      </c>
      <c r="Q451" s="12"/>
      <c r="R451" s="17" t="s">
        <v>1905</v>
      </c>
      <c r="S451" s="12"/>
      <c r="T451" s="12"/>
      <c r="U451" s="10" t="str">
        <f>HYPERLINK("https://pbs.twimg.com/profile_images/1040235409534590976/2aG_utbk.jpg","View")</f>
        <v>View</v>
      </c>
    </row>
    <row r="452" spans="1:21" ht="40.799999999999997">
      <c r="A452" s="6">
        <v>43442.385787037041</v>
      </c>
      <c r="B452" s="7" t="str">
        <f>HYPERLINK("https://twitter.com/ArwenPlaza","@ArwenPlaza")</f>
        <v>@ArwenPlaza</v>
      </c>
      <c r="C452" s="8" t="s">
        <v>1906</v>
      </c>
      <c r="D452" s="9" t="s">
        <v>892</v>
      </c>
      <c r="E452" s="10" t="str">
        <f>HYPERLINK("https://twitter.com/ArwenPlaza/status/1071317340770439169","1071317340770439169")</f>
        <v>1071317340770439169</v>
      </c>
      <c r="F452" s="11" t="s">
        <v>893</v>
      </c>
      <c r="G452" s="12"/>
      <c r="H452" s="12"/>
      <c r="I452" s="13">
        <v>0</v>
      </c>
      <c r="J452" s="13">
        <v>0</v>
      </c>
      <c r="K452" s="14" t="str">
        <f>HYPERLINK("http://twitter.com/download/iphone","Twitter for iPhone")</f>
        <v>Twitter for iPhone</v>
      </c>
      <c r="L452" s="13">
        <v>5707</v>
      </c>
      <c r="M452" s="13">
        <v>4584</v>
      </c>
      <c r="N452" s="13">
        <v>77</v>
      </c>
      <c r="O452" s="15"/>
      <c r="P452" s="6">
        <v>40933.843842592592</v>
      </c>
      <c r="Q452" s="12"/>
      <c r="R452" s="17" t="s">
        <v>1907</v>
      </c>
      <c r="S452" s="12"/>
      <c r="T452" s="12"/>
      <c r="U452" s="10" t="str">
        <f>HYPERLINK("https://pbs.twimg.com/profile_images/786565403870896128/vQQe5n43.jpg","View")</f>
        <v>View</v>
      </c>
    </row>
    <row r="453" spans="1:21" ht="20.399999999999999">
      <c r="A453" s="6">
        <v>43442.384918981479</v>
      </c>
      <c r="B453" s="7" t="str">
        <f>HYPERLINK("https://twitter.com/catymu2","@catymu2")</f>
        <v>@catymu2</v>
      </c>
      <c r="C453" s="8" t="s">
        <v>1908</v>
      </c>
      <c r="D453" s="9" t="s">
        <v>1324</v>
      </c>
      <c r="E453" s="10" t="str">
        <f>HYPERLINK("https://twitter.com/catymu2/status/1071317023811125248","1071317023811125248")</f>
        <v>1071317023811125248</v>
      </c>
      <c r="F453" s="11" t="s">
        <v>467</v>
      </c>
      <c r="G453" s="12"/>
      <c r="H453" s="12"/>
      <c r="I453" s="13">
        <v>1</v>
      </c>
      <c r="J453" s="13">
        <v>1</v>
      </c>
      <c r="K453" s="14" t="str">
        <f>HYPERLINK("http://twitter.com","Twitter Web Client")</f>
        <v>Twitter Web Client</v>
      </c>
      <c r="L453" s="13">
        <v>43</v>
      </c>
      <c r="M453" s="13">
        <v>129</v>
      </c>
      <c r="N453" s="13">
        <v>0</v>
      </c>
      <c r="O453" s="15"/>
      <c r="P453" s="6">
        <v>42432.456226851849</v>
      </c>
      <c r="Q453" s="16" t="s">
        <v>60</v>
      </c>
      <c r="R453" s="19"/>
      <c r="S453" s="12"/>
      <c r="T453" s="12"/>
      <c r="U453" s="10" t="str">
        <f>HYPERLINK("https://pbs.twimg.com/profile_images/1009103258785402882/34q9w8XC.jpg","View")</f>
        <v>View</v>
      </c>
    </row>
    <row r="454" spans="1:21" ht="20.399999999999999">
      <c r="A454" s="6">
        <v>43442.384594907402</v>
      </c>
      <c r="B454" s="7" t="str">
        <f>HYPERLINK("https://twitter.com/CwhRoss","@CwhRoss")</f>
        <v>@CwhRoss</v>
      </c>
      <c r="C454" s="8" t="s">
        <v>1909</v>
      </c>
      <c r="D454" s="9" t="s">
        <v>1317</v>
      </c>
      <c r="E454" s="10" t="str">
        <f>HYPERLINK("https://twitter.com/CwhRoss/status/1071316907104583680","1071316907104583680")</f>
        <v>1071316907104583680</v>
      </c>
      <c r="F454" s="11" t="s">
        <v>576</v>
      </c>
      <c r="G454" s="12"/>
      <c r="H454" s="12"/>
      <c r="I454" s="13">
        <v>0</v>
      </c>
      <c r="J454" s="13">
        <v>0</v>
      </c>
      <c r="K454" s="14" t="str">
        <f>HYPERLINK("http://www.facebook.com/twitter","Facebook")</f>
        <v>Facebook</v>
      </c>
      <c r="L454" s="13">
        <v>170</v>
      </c>
      <c r="M454" s="13">
        <v>2</v>
      </c>
      <c r="N454" s="13">
        <v>45</v>
      </c>
      <c r="O454" s="15"/>
      <c r="P454" s="6">
        <v>41008.781701388885</v>
      </c>
      <c r="Q454" s="16" t="s">
        <v>1910</v>
      </c>
      <c r="R454" s="23" t="s">
        <v>1911</v>
      </c>
      <c r="S454" s="11" t="s">
        <v>1912</v>
      </c>
      <c r="T454" s="12"/>
      <c r="U454" s="10" t="str">
        <f>HYPERLINK("https://pbs.twimg.com/profile_images/2076887937/Copy_of_cerdo_con_maciza.jpg","View")</f>
        <v>View</v>
      </c>
    </row>
    <row r="455" spans="1:21" ht="40.799999999999997">
      <c r="A455" s="6">
        <v>43442.382037037038</v>
      </c>
      <c r="B455" s="7" t="str">
        <f>HYPERLINK("https://twitter.com/Comillas_biblio","@Comillas_biblio")</f>
        <v>@Comillas_biblio</v>
      </c>
      <c r="C455" s="8" t="s">
        <v>1913</v>
      </c>
      <c r="D455" s="9" t="s">
        <v>1914</v>
      </c>
      <c r="E455" s="10" t="str">
        <f>HYPERLINK("https://twitter.com/Comillas_biblio/status/1071315981316833281","1071315981316833281")</f>
        <v>1071315981316833281</v>
      </c>
      <c r="F455" s="11" t="s">
        <v>1915</v>
      </c>
      <c r="G455" s="11" t="s">
        <v>1916</v>
      </c>
      <c r="H455" s="12"/>
      <c r="I455" s="13">
        <v>0</v>
      </c>
      <c r="J455" s="13">
        <v>0</v>
      </c>
      <c r="K455" s="14" t="str">
        <f>HYPERLINK("https://www.hootsuite.com","Hootsuite Inc.")</f>
        <v>Hootsuite Inc.</v>
      </c>
      <c r="L455" s="13">
        <v>1216</v>
      </c>
      <c r="M455" s="13">
        <v>94</v>
      </c>
      <c r="N455" s="13">
        <v>64</v>
      </c>
      <c r="O455" s="15"/>
      <c r="P455" s="6">
        <v>41033.519016203703</v>
      </c>
      <c r="Q455" s="16" t="s">
        <v>26</v>
      </c>
      <c r="R455" s="17" t="s">
        <v>1917</v>
      </c>
      <c r="S455" s="11" t="s">
        <v>1918</v>
      </c>
      <c r="T455" s="12"/>
      <c r="U455" s="10" t="str">
        <f>HYPERLINK("https://pbs.twimg.com/profile_images/1039457568479961088/GQeUiu5r.jpg","View")</f>
        <v>View</v>
      </c>
    </row>
    <row r="456" spans="1:21" ht="81.599999999999994">
      <c r="A456" s="6">
        <v>43442.380868055552</v>
      </c>
      <c r="B456" s="7" t="str">
        <f>HYPERLINK("https://twitter.com/achuchones","@achuchones")</f>
        <v>@achuchones</v>
      </c>
      <c r="C456" s="8" t="s">
        <v>1919</v>
      </c>
      <c r="D456" s="9" t="s">
        <v>1920</v>
      </c>
      <c r="E456" s="10" t="str">
        <f>HYPERLINK("https://twitter.com/achuchones/status/1071315555502747648","1071315555502747648")</f>
        <v>1071315555502747648</v>
      </c>
      <c r="F456" s="16" t="s">
        <v>1921</v>
      </c>
      <c r="G456" s="12"/>
      <c r="H456" s="12"/>
      <c r="I456" s="13">
        <v>0</v>
      </c>
      <c r="J456" s="13">
        <v>0</v>
      </c>
      <c r="K456" s="14" t="str">
        <f>HYPERLINK("http://twitter.com/download/android","Twitter for Android")</f>
        <v>Twitter for Android</v>
      </c>
      <c r="L456" s="13">
        <v>339</v>
      </c>
      <c r="M456" s="13">
        <v>1218</v>
      </c>
      <c r="N456" s="13">
        <v>4</v>
      </c>
      <c r="O456" s="15"/>
      <c r="P456" s="6">
        <v>40878.568333333329</v>
      </c>
      <c r="Q456" s="16" t="s">
        <v>1922</v>
      </c>
      <c r="R456" s="17" t="s">
        <v>1923</v>
      </c>
      <c r="S456" s="11" t="s">
        <v>1924</v>
      </c>
      <c r="T456" s="12"/>
      <c r="U456" s="10" t="str">
        <f>HYPERLINK("https://pbs.twimg.com/profile_images/1066040172817600517/s-jeL_iV.jpg","View")</f>
        <v>View</v>
      </c>
    </row>
    <row r="457" spans="1:21" ht="20.399999999999999">
      <c r="A457" s="6">
        <v>43442.380046296297</v>
      </c>
      <c r="B457" s="7" t="str">
        <f>HYPERLINK("https://twitter.com/Zuliano73","@Zuliano73")</f>
        <v>@Zuliano73</v>
      </c>
      <c r="C457" s="8" t="s">
        <v>1925</v>
      </c>
      <c r="D457" s="9" t="s">
        <v>1926</v>
      </c>
      <c r="E457" s="10" t="str">
        <f>HYPERLINK("https://twitter.com/Zuliano73/status/1071315258936123392","1071315258936123392")</f>
        <v>1071315258936123392</v>
      </c>
      <c r="F457" s="11" t="s">
        <v>1927</v>
      </c>
      <c r="G457" s="12"/>
      <c r="H457" s="12"/>
      <c r="I457" s="13">
        <v>0</v>
      </c>
      <c r="J457" s="13">
        <v>0</v>
      </c>
      <c r="K457" s="14" t="str">
        <f t="shared" ref="K457:K460" si="74">HYPERLINK("https://ifttt.com","IFTTT")</f>
        <v>IFTTT</v>
      </c>
      <c r="L457" s="13">
        <v>11624</v>
      </c>
      <c r="M457" s="13">
        <v>1952</v>
      </c>
      <c r="N457" s="13">
        <v>89</v>
      </c>
      <c r="O457" s="15"/>
      <c r="P457" s="6">
        <v>40706.768379629633</v>
      </c>
      <c r="Q457" s="16" t="s">
        <v>1928</v>
      </c>
      <c r="R457" s="17" t="s">
        <v>1929</v>
      </c>
      <c r="S457" s="12"/>
      <c r="T457" s="12"/>
      <c r="U457" s="10" t="str">
        <f>HYPERLINK("https://pbs.twimg.com/profile_images/1037751687019155457/0iZARKuE.jpg","View")</f>
        <v>View</v>
      </c>
    </row>
    <row r="458" spans="1:21" ht="20.399999999999999">
      <c r="A458" s="6">
        <v>43442.379375000004</v>
      </c>
      <c r="B458" s="7" t="str">
        <f>HYPERLINK("https://twitter.com/BodegaBBC","@BodegaBBC")</f>
        <v>@BodegaBBC</v>
      </c>
      <c r="C458" s="8" t="s">
        <v>1930</v>
      </c>
      <c r="D458" s="9" t="s">
        <v>1931</v>
      </c>
      <c r="E458" s="10" t="str">
        <f>HYPERLINK("https://twitter.com/BodegaBBC/status/1071315016543035392","1071315016543035392")</f>
        <v>1071315016543035392</v>
      </c>
      <c r="F458" s="11" t="s">
        <v>1932</v>
      </c>
      <c r="G458" s="12"/>
      <c r="H458" s="12"/>
      <c r="I458" s="13">
        <v>0</v>
      </c>
      <c r="J458" s="13">
        <v>0</v>
      </c>
      <c r="K458" s="14" t="str">
        <f t="shared" si="74"/>
        <v>IFTTT</v>
      </c>
      <c r="L458" s="13">
        <v>3077</v>
      </c>
      <c r="M458" s="13">
        <v>1521</v>
      </c>
      <c r="N458" s="13">
        <v>52</v>
      </c>
      <c r="O458" s="15"/>
      <c r="P458" s="6">
        <v>42503.298321759255</v>
      </c>
      <c r="Q458" s="16" t="s">
        <v>1649</v>
      </c>
      <c r="R458" s="17" t="s">
        <v>1933</v>
      </c>
      <c r="S458" s="11" t="s">
        <v>1934</v>
      </c>
      <c r="T458" s="12"/>
      <c r="U458" s="10" t="str">
        <f>HYPERLINK("https://pbs.twimg.com/profile_images/736230821648949253/R0vfg4bG.jpg","View")</f>
        <v>View</v>
      </c>
    </row>
    <row r="459" spans="1:21" ht="20.399999999999999">
      <c r="A459" s="6">
        <v>43442.378437499996</v>
      </c>
      <c r="B459" s="7" t="str">
        <f>HYPERLINK("https://twitter.com/notiwebon","@notiwebon")</f>
        <v>@notiwebon</v>
      </c>
      <c r="C459" s="8" t="s">
        <v>1935</v>
      </c>
      <c r="D459" s="9" t="s">
        <v>1926</v>
      </c>
      <c r="E459" s="10" t="str">
        <f>HYPERLINK("https://twitter.com/notiwebon/status/1071314677785858048","1071314677785858048")</f>
        <v>1071314677785858048</v>
      </c>
      <c r="F459" s="11" t="s">
        <v>1927</v>
      </c>
      <c r="G459" s="12"/>
      <c r="H459" s="12"/>
      <c r="I459" s="13">
        <v>0</v>
      </c>
      <c r="J459" s="13">
        <v>0</v>
      </c>
      <c r="K459" s="14" t="str">
        <f t="shared" si="74"/>
        <v>IFTTT</v>
      </c>
      <c r="L459" s="13">
        <v>19309</v>
      </c>
      <c r="M459" s="13">
        <v>10749</v>
      </c>
      <c r="N459" s="13">
        <v>98</v>
      </c>
      <c r="O459" s="15"/>
      <c r="P459" s="6">
        <v>41582.050671296296</v>
      </c>
      <c r="Q459" s="16" t="s">
        <v>1936</v>
      </c>
      <c r="R459" s="17" t="s">
        <v>1937</v>
      </c>
      <c r="S459" s="11" t="s">
        <v>1938</v>
      </c>
      <c r="T459" s="12"/>
      <c r="U459" s="10" t="str">
        <f>HYPERLINK("https://pbs.twimg.com/profile_images/814997456714874882/9xFJwdMw.jpg","View")</f>
        <v>View</v>
      </c>
    </row>
    <row r="460" spans="1:21" ht="20.399999999999999">
      <c r="A460" s="6">
        <v>43442.376076388886</v>
      </c>
      <c r="B460" s="7" t="str">
        <f>HYPERLINK("https://twitter.com/conlanoticia","@conlanoticia")</f>
        <v>@conlanoticia</v>
      </c>
      <c r="C460" s="8" t="s">
        <v>1939</v>
      </c>
      <c r="D460" s="9" t="s">
        <v>1926</v>
      </c>
      <c r="E460" s="10" t="str">
        <f>HYPERLINK("https://twitter.com/conlanoticia/status/1071313820700868610","1071313820700868610")</f>
        <v>1071313820700868610</v>
      </c>
      <c r="F460" s="11" t="s">
        <v>1927</v>
      </c>
      <c r="G460" s="12"/>
      <c r="H460" s="12"/>
      <c r="I460" s="13">
        <v>0</v>
      </c>
      <c r="J460" s="13">
        <v>0</v>
      </c>
      <c r="K460" s="14" t="str">
        <f t="shared" si="74"/>
        <v>IFTTT</v>
      </c>
      <c r="L460" s="13">
        <v>37331</v>
      </c>
      <c r="M460" s="13">
        <v>2464</v>
      </c>
      <c r="N460" s="13">
        <v>129</v>
      </c>
      <c r="O460" s="15"/>
      <c r="P460" s="6">
        <v>40586.071134259255</v>
      </c>
      <c r="Q460" s="16" t="s">
        <v>1940</v>
      </c>
      <c r="R460" s="17" t="s">
        <v>1941</v>
      </c>
      <c r="S460" s="12"/>
      <c r="T460" s="12"/>
      <c r="U460" s="10" t="str">
        <f>HYPERLINK("https://pbs.twimg.com/profile_images/592923400676474880/K0k30ikg.jpg","View")</f>
        <v>View</v>
      </c>
    </row>
    <row r="461" spans="1:21" ht="51">
      <c r="A461" s="6">
        <v>43442.374409722222</v>
      </c>
      <c r="B461" s="7" t="str">
        <f>HYPERLINK("https://twitter.com/ijaen_info","@ijaen_info")</f>
        <v>@ijaen_info</v>
      </c>
      <c r="C461" s="8" t="s">
        <v>1942</v>
      </c>
      <c r="D461" s="9" t="s">
        <v>1943</v>
      </c>
      <c r="E461" s="10" t="str">
        <f>HYPERLINK("https://twitter.com/ijaen_info/status/1071313215857008640","1071313215857008640")</f>
        <v>1071313215857008640</v>
      </c>
      <c r="F461" s="11" t="s">
        <v>1944</v>
      </c>
      <c r="G461" s="12"/>
      <c r="H461" s="12"/>
      <c r="I461" s="13">
        <v>0</v>
      </c>
      <c r="J461" s="13">
        <v>0</v>
      </c>
      <c r="K461" s="14" t="str">
        <f>HYPERLINK("http://twitter.com","Twitter Web Client")</f>
        <v>Twitter Web Client</v>
      </c>
      <c r="L461" s="13">
        <v>2176</v>
      </c>
      <c r="M461" s="13">
        <v>737</v>
      </c>
      <c r="N461" s="13">
        <v>31</v>
      </c>
      <c r="O461" s="15"/>
      <c r="P461" s="6">
        <v>42396.415358796294</v>
      </c>
      <c r="Q461" s="16" t="s">
        <v>1654</v>
      </c>
      <c r="R461" s="17" t="s">
        <v>1945</v>
      </c>
      <c r="S461" s="11" t="s">
        <v>1946</v>
      </c>
      <c r="T461" s="12"/>
      <c r="U461" s="10" t="str">
        <f>HYPERLINK("https://pbs.twimg.com/profile_images/882487494582861824/C7OoNRN6.jpg","View")</f>
        <v>View</v>
      </c>
    </row>
    <row r="462" spans="1:21" ht="20.399999999999999">
      <c r="A462" s="6">
        <v>43442.374143518522</v>
      </c>
      <c r="B462" s="7" t="str">
        <f>HYPERLINK("https://twitter.com/ammembrilla","@ammembrilla")</f>
        <v>@ammembrilla</v>
      </c>
      <c r="C462" s="8" t="s">
        <v>1947</v>
      </c>
      <c r="D462" s="9" t="s">
        <v>1948</v>
      </c>
      <c r="E462" s="10" t="str">
        <f>HYPERLINK("https://twitter.com/ammembrilla/status/1071313121002864640","1071313121002864640")</f>
        <v>1071313121002864640</v>
      </c>
      <c r="F462" s="12"/>
      <c r="G462" s="12"/>
      <c r="H462" s="12"/>
      <c r="I462" s="13">
        <v>0</v>
      </c>
      <c r="J462" s="13">
        <v>0</v>
      </c>
      <c r="K462" s="14" t="str">
        <f>HYPERLINK("http://twitter.com/download/android","Twitter for Android")</f>
        <v>Twitter for Android</v>
      </c>
      <c r="L462" s="13">
        <v>4540</v>
      </c>
      <c r="M462" s="13">
        <v>4287</v>
      </c>
      <c r="N462" s="13">
        <v>115</v>
      </c>
      <c r="O462" s="15"/>
      <c r="P462" s="6">
        <v>40520.655833333338</v>
      </c>
      <c r="Q462" s="16" t="s">
        <v>797</v>
      </c>
      <c r="R462" s="17" t="s">
        <v>1949</v>
      </c>
      <c r="S462" s="11" t="s">
        <v>1950</v>
      </c>
      <c r="T462" s="12"/>
      <c r="U462" s="10" t="str">
        <f>HYPERLINK("https://pbs.twimg.com/profile_images/448578417659633665/ypd0kUSU.jpeg","View")</f>
        <v>View</v>
      </c>
    </row>
    <row r="463" spans="1:21" ht="40.799999999999997">
      <c r="A463" s="6">
        <v>43442.37222222222</v>
      </c>
      <c r="B463" s="7" t="str">
        <f>HYPERLINK("https://twitter.com/la_patilla","@la_patilla")</f>
        <v>@la_patilla</v>
      </c>
      <c r="C463" s="8" t="s">
        <v>1951</v>
      </c>
      <c r="D463" s="9" t="s">
        <v>1926</v>
      </c>
      <c r="E463" s="10" t="str">
        <f>HYPERLINK("https://twitter.com/la_patilla/status/1071312422563139584","1071312422563139584")</f>
        <v>1071312422563139584</v>
      </c>
      <c r="F463" s="11" t="s">
        <v>1927</v>
      </c>
      <c r="G463" s="12"/>
      <c r="H463" s="12"/>
      <c r="I463" s="13">
        <v>3</v>
      </c>
      <c r="J463" s="13">
        <v>0</v>
      </c>
      <c r="K463" s="14" t="str">
        <f>HYPERLINK("https://buffer.com","Buffer")</f>
        <v>Buffer</v>
      </c>
      <c r="L463" s="13">
        <v>6835400</v>
      </c>
      <c r="M463" s="13">
        <v>150</v>
      </c>
      <c r="N463" s="13">
        <v>16420</v>
      </c>
      <c r="O463" s="18" t="s">
        <v>41</v>
      </c>
      <c r="P463" s="6">
        <v>40255.626388888893</v>
      </c>
      <c r="Q463" s="16" t="s">
        <v>871</v>
      </c>
      <c r="R463" s="17" t="s">
        <v>1952</v>
      </c>
      <c r="S463" s="11" t="s">
        <v>1953</v>
      </c>
      <c r="T463" s="12"/>
      <c r="U463" s="10" t="str">
        <f>HYPERLINK("https://pbs.twimg.com/profile_images/886301529627475969/KslqP3me.jpg","View")</f>
        <v>View</v>
      </c>
    </row>
    <row r="464" spans="1:21" ht="20.399999999999999">
      <c r="A464" s="6">
        <v>43442.37091435185</v>
      </c>
      <c r="B464" s="7" t="str">
        <f>HYPERLINK("https://twitter.com/Laia78149245","@Laia78149245")</f>
        <v>@Laia78149245</v>
      </c>
      <c r="C464" s="8" t="s">
        <v>1954</v>
      </c>
      <c r="D464" s="9" t="s">
        <v>1955</v>
      </c>
      <c r="E464" s="10" t="str">
        <f>HYPERLINK("https://twitter.com/Laia78149245/status/1071311949676318720","1071311949676318720")</f>
        <v>1071311949676318720</v>
      </c>
      <c r="F464" s="11" t="s">
        <v>114</v>
      </c>
      <c r="G464" s="12"/>
      <c r="H464" s="12"/>
      <c r="I464" s="13">
        <v>0</v>
      </c>
      <c r="J464" s="13">
        <v>0</v>
      </c>
      <c r="K464" s="14" t="str">
        <f>HYPERLINK("http://twitter.com","Twitter Web Client")</f>
        <v>Twitter Web Client</v>
      </c>
      <c r="L464" s="13">
        <v>26</v>
      </c>
      <c r="M464" s="13">
        <v>166</v>
      </c>
      <c r="N464" s="13">
        <v>0</v>
      </c>
      <c r="O464" s="15"/>
      <c r="P464" s="6">
        <v>43419.379965277782</v>
      </c>
      <c r="Q464" s="12"/>
      <c r="R464" s="19"/>
      <c r="S464" s="12"/>
      <c r="T464" s="12"/>
      <c r="U464" s="10" t="str">
        <f>HYPERLINK("https://pbs.twimg.com/profile_images/1068171914374467586/BMng8lxb.jpg","View")</f>
        <v>View</v>
      </c>
    </row>
    <row r="465" spans="1:21" ht="81.599999999999994">
      <c r="A465" s="6">
        <v>43442.368229166663</v>
      </c>
      <c r="B465" s="7" t="str">
        <f>HYPERLINK("https://twitter.com/OrbitaEduardo","@OrbitaEduardo")</f>
        <v>@OrbitaEduardo</v>
      </c>
      <c r="C465" s="8" t="s">
        <v>1562</v>
      </c>
      <c r="D465" s="9" t="s">
        <v>1956</v>
      </c>
      <c r="E465" s="10" t="str">
        <f>HYPERLINK("https://twitter.com/OrbitaEduardo/status/1071310977784799232","1071310977784799232")</f>
        <v>1071310977784799232</v>
      </c>
      <c r="F465" s="11" t="s">
        <v>1957</v>
      </c>
      <c r="G465" s="11" t="s">
        <v>1958</v>
      </c>
      <c r="H465" s="12"/>
      <c r="I465" s="13">
        <v>112</v>
      </c>
      <c r="J465" s="13">
        <v>90</v>
      </c>
      <c r="K465" s="14" t="str">
        <f>HYPERLINK("http://twitter.com/download/android","Twitter for Android")</f>
        <v>Twitter for Android</v>
      </c>
      <c r="L465" s="13">
        <v>4524</v>
      </c>
      <c r="M465" s="13">
        <v>4948</v>
      </c>
      <c r="N465" s="13">
        <v>13</v>
      </c>
      <c r="O465" s="15"/>
      <c r="P465" s="6">
        <v>43110.374305555553</v>
      </c>
      <c r="Q465" s="16" t="s">
        <v>1073</v>
      </c>
      <c r="R465" s="17" t="s">
        <v>1565</v>
      </c>
      <c r="S465" s="12"/>
      <c r="T465" s="12"/>
      <c r="U465" s="10" t="str">
        <f>HYPERLINK("https://pbs.twimg.com/profile_images/1034013666600001538/MmqVJqFc.jpg","View")</f>
        <v>View</v>
      </c>
    </row>
    <row r="466" spans="1:21" ht="40.799999999999997">
      <c r="A466" s="6">
        <v>43442.366053240738</v>
      </c>
      <c r="B466" s="7" t="str">
        <f>HYPERLINK("https://twitter.com/llerices","@llerices")</f>
        <v>@llerices</v>
      </c>
      <c r="C466" s="8" t="s">
        <v>1959</v>
      </c>
      <c r="D466" s="9" t="s">
        <v>1960</v>
      </c>
      <c r="E466" s="10" t="str">
        <f>HYPERLINK("https://twitter.com/llerices/status/1071310188945305600","1071310188945305600")</f>
        <v>1071310188945305600</v>
      </c>
      <c r="F466" s="11" t="s">
        <v>1961</v>
      </c>
      <c r="G466" s="12"/>
      <c r="H466" s="12"/>
      <c r="I466" s="13">
        <v>0</v>
      </c>
      <c r="J466" s="13">
        <v>0</v>
      </c>
      <c r="K466" s="14" t="str">
        <f>HYPERLINK("http://twitter.com","Twitter Web Client")</f>
        <v>Twitter Web Client</v>
      </c>
      <c r="L466" s="13">
        <v>647</v>
      </c>
      <c r="M466" s="13">
        <v>685</v>
      </c>
      <c r="N466" s="13">
        <v>12</v>
      </c>
      <c r="O466" s="15"/>
      <c r="P466" s="6">
        <v>40444.951342592591</v>
      </c>
      <c r="Q466" s="16" t="s">
        <v>1962</v>
      </c>
      <c r="R466" s="17" t="s">
        <v>1963</v>
      </c>
      <c r="S466" s="12"/>
      <c r="T466" s="12"/>
      <c r="U466" s="10" t="str">
        <f>HYPERLINK("https://pbs.twimg.com/profile_images/670899507400482816/kPZQ71Og.jpg","View")</f>
        <v>View</v>
      </c>
    </row>
    <row r="467" spans="1:21" ht="30.6">
      <c r="A467" s="6">
        <v>43442.364675925928</v>
      </c>
      <c r="B467" s="7" t="str">
        <f>HYPERLINK("https://twitter.com/jfmunozro","@jfmunozro")</f>
        <v>@jfmunozro</v>
      </c>
      <c r="C467" s="8" t="s">
        <v>1964</v>
      </c>
      <c r="D467" s="9" t="s">
        <v>1965</v>
      </c>
      <c r="E467" s="10" t="str">
        <f>HYPERLINK("https://twitter.com/jfmunozro/status/1071309690942963712","1071309690942963712")</f>
        <v>1071309690942963712</v>
      </c>
      <c r="F467" s="11" t="s">
        <v>1966</v>
      </c>
      <c r="G467" s="12"/>
      <c r="H467" s="12"/>
      <c r="I467" s="13">
        <v>0</v>
      </c>
      <c r="J467" s="13">
        <v>0</v>
      </c>
      <c r="K467" s="14" t="str">
        <f>HYPERLINK("http://twitter.com/download/android","Twitter for Android")</f>
        <v>Twitter for Android</v>
      </c>
      <c r="L467" s="13">
        <v>3846</v>
      </c>
      <c r="M467" s="13">
        <v>3736</v>
      </c>
      <c r="N467" s="13">
        <v>18</v>
      </c>
      <c r="O467" s="15"/>
      <c r="P467" s="6">
        <v>41281.002222222218</v>
      </c>
      <c r="Q467" s="16" t="s">
        <v>1967</v>
      </c>
      <c r="R467" s="17" t="s">
        <v>1968</v>
      </c>
      <c r="S467" s="12"/>
      <c r="T467" s="12"/>
      <c r="U467" s="10" t="str">
        <f>HYPERLINK("https://pbs.twimg.com/profile_images/971680530927443968/MT1JYgQw.jpg","View")</f>
        <v>View</v>
      </c>
    </row>
    <row r="468" spans="1:21" ht="30.6">
      <c r="A468" s="6">
        <v>43442.364652777775</v>
      </c>
      <c r="B468" s="7" t="str">
        <f>HYPERLINK("https://twitter.com/lastelesTv","@lastelesTv")</f>
        <v>@lastelesTv</v>
      </c>
      <c r="C468" s="20" t="s">
        <v>1969</v>
      </c>
      <c r="D468" s="9" t="s">
        <v>1970</v>
      </c>
      <c r="E468" s="10" t="str">
        <f>HYPERLINK("https://twitter.com/lastelesTv/status/1071309680801144832","1071309680801144832")</f>
        <v>1071309680801144832</v>
      </c>
      <c r="F468" s="11" t="s">
        <v>1971</v>
      </c>
      <c r="G468" s="12"/>
      <c r="H468" s="12"/>
      <c r="I468" s="13">
        <v>0</v>
      </c>
      <c r="J468" s="13">
        <v>0</v>
      </c>
      <c r="K468" s="14" t="str">
        <f t="shared" ref="K468:K469" si="75">HYPERLINK("http://www.facebook.com/twitter","Facebook")</f>
        <v>Facebook</v>
      </c>
      <c r="L468" s="13">
        <v>5952</v>
      </c>
      <c r="M468" s="13">
        <v>954</v>
      </c>
      <c r="N468" s="13">
        <v>60</v>
      </c>
      <c r="O468" s="15"/>
      <c r="P468" s="6">
        <v>40525.003541666665</v>
      </c>
      <c r="Q468" s="12"/>
      <c r="R468" s="17" t="s">
        <v>1972</v>
      </c>
      <c r="S468" s="11" t="s">
        <v>1973</v>
      </c>
      <c r="T468" s="12"/>
      <c r="U468" s="10" t="str">
        <f>HYPERLINK("https://pbs.twimg.com/profile_images/3108752304/13eccb1514037726fded6cc5b720ccf2.jpeg","View")</f>
        <v>View</v>
      </c>
    </row>
    <row r="469" spans="1:21" ht="30.6">
      <c r="A469" s="6">
        <v>43442.362789351857</v>
      </c>
      <c r="B469" s="7" t="str">
        <f>HYPERLINK("https://twitter.com/cucomartinez","@cucomartinez")</f>
        <v>@cucomartinez</v>
      </c>
      <c r="C469" s="8" t="s">
        <v>1974</v>
      </c>
      <c r="D469" s="9" t="s">
        <v>1975</v>
      </c>
      <c r="E469" s="10" t="str">
        <f>HYPERLINK("https://twitter.com/cucomartinez/status/1071309003341336576","1071309003341336576")</f>
        <v>1071309003341336576</v>
      </c>
      <c r="F469" s="11" t="s">
        <v>1976</v>
      </c>
      <c r="G469" s="12"/>
      <c r="H469" s="12"/>
      <c r="I469" s="13">
        <v>0</v>
      </c>
      <c r="J469" s="13">
        <v>0</v>
      </c>
      <c r="K469" s="14" t="str">
        <f t="shared" si="75"/>
        <v>Facebook</v>
      </c>
      <c r="L469" s="13">
        <v>558</v>
      </c>
      <c r="M469" s="13">
        <v>2220</v>
      </c>
      <c r="N469" s="13">
        <v>37</v>
      </c>
      <c r="O469" s="15"/>
      <c r="P469" s="6">
        <v>40446.122013888889</v>
      </c>
      <c r="Q469" s="12"/>
      <c r="R469" s="17" t="s">
        <v>1977</v>
      </c>
      <c r="S469" s="12"/>
      <c r="T469" s="12"/>
      <c r="U469" s="10" t="str">
        <f>HYPERLINK("https://pbs.twimg.com/profile_images/378800000483707560/e9719b340873045880e8c51ad29750ad.jpeg","View")</f>
        <v>View</v>
      </c>
    </row>
    <row r="470" spans="1:21" ht="30.6">
      <c r="A470" s="6">
        <v>43442.360671296294</v>
      </c>
      <c r="B470" s="7" t="str">
        <f>HYPERLINK("https://twitter.com/erpishaderota","@erpishaderota")</f>
        <v>@erpishaderota</v>
      </c>
      <c r="C470" s="8" t="s">
        <v>1978</v>
      </c>
      <c r="D470" s="9" t="s">
        <v>1979</v>
      </c>
      <c r="E470" s="10" t="str">
        <f>HYPERLINK("https://twitter.com/erpishaderota/status/1071308239307005952","1071308239307005952")</f>
        <v>1071308239307005952</v>
      </c>
      <c r="F470" s="12"/>
      <c r="G470" s="12"/>
      <c r="H470" s="12"/>
      <c r="I470" s="13">
        <v>2</v>
      </c>
      <c r="J470" s="13">
        <v>4</v>
      </c>
      <c r="K470" s="14" t="str">
        <f>HYPERLINK("http://twitter.com/download/iphone","Twitter for iPhone")</f>
        <v>Twitter for iPhone</v>
      </c>
      <c r="L470" s="13">
        <v>152</v>
      </c>
      <c r="M470" s="13">
        <v>686</v>
      </c>
      <c r="N470" s="13">
        <v>1</v>
      </c>
      <c r="O470" s="15"/>
      <c r="P470" s="6">
        <v>41514.40688657407</v>
      </c>
      <c r="Q470" s="12"/>
      <c r="R470" s="17" t="s">
        <v>1980</v>
      </c>
      <c r="S470" s="12"/>
      <c r="T470" s="12"/>
      <c r="U470" s="10" t="str">
        <f>HYPERLINK("https://pbs.twimg.com/profile_images/478284458710564864/zK1aI8hO.jpeg","View")</f>
        <v>View</v>
      </c>
    </row>
    <row r="471" spans="1:21" ht="40.799999999999997">
      <c r="A471" s="6">
        <v>43442.35055555556</v>
      </c>
      <c r="B471" s="7" t="str">
        <f>HYPERLINK("https://twitter.com/jdalvarezt","@jdalvarezt")</f>
        <v>@jdalvarezt</v>
      </c>
      <c r="C471" s="8" t="s">
        <v>1981</v>
      </c>
      <c r="D471" s="9" t="s">
        <v>1982</v>
      </c>
      <c r="E471" s="10" t="str">
        <f>HYPERLINK("https://twitter.com/jdalvarezt/status/1071304574072442881","1071304574072442881")</f>
        <v>1071304574072442881</v>
      </c>
      <c r="F471" s="11" t="s">
        <v>1983</v>
      </c>
      <c r="G471" s="12"/>
      <c r="H471" s="12"/>
      <c r="I471" s="13">
        <v>0</v>
      </c>
      <c r="J471" s="13">
        <v>1</v>
      </c>
      <c r="K471" s="14" t="str">
        <f>HYPERLINK("http://www.facebook.com/twitter","Facebook")</f>
        <v>Facebook</v>
      </c>
      <c r="L471" s="13">
        <v>1130</v>
      </c>
      <c r="M471" s="13">
        <v>966</v>
      </c>
      <c r="N471" s="13">
        <v>11</v>
      </c>
      <c r="O471" s="15"/>
      <c r="P471" s="6">
        <v>40287.432673611111</v>
      </c>
      <c r="Q471" s="16" t="s">
        <v>1984</v>
      </c>
      <c r="R471" s="17" t="s">
        <v>1985</v>
      </c>
      <c r="S471" s="12"/>
      <c r="T471" s="12"/>
      <c r="U471" s="10" t="str">
        <f>HYPERLINK("https://pbs.twimg.com/profile_images/1031874282299764736/ruUGRX31.jpg","View")</f>
        <v>View</v>
      </c>
    </row>
    <row r="472" spans="1:21" ht="30.6">
      <c r="A472" s="6">
        <v>43442.350092592591</v>
      </c>
      <c r="B472" s="7" t="str">
        <f>HYPERLINK("https://twitter.com/aalcant","@aalcant")</f>
        <v>@aalcant</v>
      </c>
      <c r="C472" s="8" t="s">
        <v>666</v>
      </c>
      <c r="D472" s="9" t="s">
        <v>1986</v>
      </c>
      <c r="E472" s="10" t="str">
        <f>HYPERLINK("https://twitter.com/aalcant/status/1071304403775299584","1071304403775299584")</f>
        <v>1071304403775299584</v>
      </c>
      <c r="F472" s="12"/>
      <c r="G472" s="11" t="s">
        <v>1987</v>
      </c>
      <c r="H472" s="12"/>
      <c r="I472" s="13">
        <v>0</v>
      </c>
      <c r="J472" s="13">
        <v>0</v>
      </c>
      <c r="K472" s="14" t="str">
        <f>HYPERLINK("http://twitter.com/#!/download/ipad","Twitter for iPad")</f>
        <v>Twitter for iPad</v>
      </c>
      <c r="L472" s="13">
        <v>1216</v>
      </c>
      <c r="M472" s="13">
        <v>1088</v>
      </c>
      <c r="N472" s="13">
        <v>13</v>
      </c>
      <c r="O472" s="15"/>
      <c r="P472" s="6">
        <v>40628.742569444446</v>
      </c>
      <c r="Q472" s="16" t="s">
        <v>200</v>
      </c>
      <c r="R472" s="17" t="s">
        <v>669</v>
      </c>
      <c r="S472" s="12"/>
      <c r="T472" s="12"/>
      <c r="U472" s="10" t="str">
        <f>HYPERLINK("https://pbs.twimg.com/profile_images/1029091279429357570/sSk4T2Mx.jpg","View")</f>
        <v>View</v>
      </c>
    </row>
    <row r="473" spans="1:21" ht="30.6">
      <c r="A473" s="6">
        <v>43442.349687499998</v>
      </c>
      <c r="B473" s="7" t="str">
        <f>HYPERLINK("https://twitter.com/JMorenoCalvete","@JMorenoCalvete")</f>
        <v>@JMorenoCalvete</v>
      </c>
      <c r="C473" s="8" t="s">
        <v>1988</v>
      </c>
      <c r="D473" s="9" t="s">
        <v>1989</v>
      </c>
      <c r="E473" s="10" t="str">
        <f>HYPERLINK("https://twitter.com/JMorenoCalvete/status/1071304258665017345","1071304258665017345")</f>
        <v>1071304258665017345</v>
      </c>
      <c r="F473" s="12"/>
      <c r="G473" s="12"/>
      <c r="H473" s="12"/>
      <c r="I473" s="13">
        <v>0</v>
      </c>
      <c r="J473" s="13">
        <v>0</v>
      </c>
      <c r="K473" s="14" t="str">
        <f>HYPERLINK("http://twitter.com","Twitter Web Client")</f>
        <v>Twitter Web Client</v>
      </c>
      <c r="L473" s="13">
        <v>519</v>
      </c>
      <c r="M473" s="13">
        <v>1203</v>
      </c>
      <c r="N473" s="13">
        <v>13</v>
      </c>
      <c r="O473" s="15"/>
      <c r="P473" s="6">
        <v>40578.6800462963</v>
      </c>
      <c r="Q473" s="16" t="s">
        <v>1990</v>
      </c>
      <c r="R473" s="17" t="s">
        <v>1991</v>
      </c>
      <c r="S473" s="11" t="s">
        <v>1992</v>
      </c>
      <c r="T473" s="12"/>
      <c r="U473" s="10" t="str">
        <f>HYPERLINK("https://pbs.twimg.com/profile_images/968021600485376001/krR15ZMf.jpg","View")</f>
        <v>View</v>
      </c>
    </row>
    <row r="474" spans="1:21" ht="30.6">
      <c r="A474" s="6">
        <v>43442.349143518513</v>
      </c>
      <c r="B474" s="7" t="str">
        <f>HYPERLINK("https://twitter.com/Jorosa47","@Jorosa47")</f>
        <v>@Jorosa47</v>
      </c>
      <c r="C474" s="8" t="s">
        <v>1993</v>
      </c>
      <c r="D474" s="9" t="s">
        <v>892</v>
      </c>
      <c r="E474" s="10" t="str">
        <f>HYPERLINK("https://twitter.com/Jorosa47/status/1071304061566238720","1071304061566238720")</f>
        <v>1071304061566238720</v>
      </c>
      <c r="F474" s="11" t="s">
        <v>893</v>
      </c>
      <c r="G474" s="12"/>
      <c r="H474" s="12"/>
      <c r="I474" s="13">
        <v>0</v>
      </c>
      <c r="J474" s="13">
        <v>0</v>
      </c>
      <c r="K474" s="14" t="str">
        <f t="shared" ref="K474:K476" si="76">HYPERLINK("http://twitter.com/download/android","Twitter for Android")</f>
        <v>Twitter for Android</v>
      </c>
      <c r="L474" s="13">
        <v>680</v>
      </c>
      <c r="M474" s="13">
        <v>681</v>
      </c>
      <c r="N474" s="13">
        <v>5</v>
      </c>
      <c r="O474" s="15"/>
      <c r="P474" s="6">
        <v>42433.491261574076</v>
      </c>
      <c r="Q474" s="12"/>
      <c r="R474" s="17" t="s">
        <v>1994</v>
      </c>
      <c r="S474" s="12"/>
      <c r="T474" s="12"/>
      <c r="U474" s="10" t="str">
        <f>HYPERLINK("https://pbs.twimg.com/profile_images/982553609811439616/3TISSh9b.jpg","View")</f>
        <v>View</v>
      </c>
    </row>
    <row r="475" spans="1:21" ht="30.6">
      <c r="A475" s="6">
        <v>43442.34642361111</v>
      </c>
      <c r="B475" s="7" t="str">
        <f>HYPERLINK("https://twitter.com/iarceg","@iarceg")</f>
        <v>@iarceg</v>
      </c>
      <c r="C475" s="8" t="s">
        <v>1995</v>
      </c>
      <c r="D475" s="9" t="s">
        <v>1175</v>
      </c>
      <c r="E475" s="10" t="str">
        <f>HYPERLINK("https://twitter.com/iarceg/status/1071303073337876480","1071303073337876480")</f>
        <v>1071303073337876480</v>
      </c>
      <c r="F475" s="11" t="s">
        <v>1176</v>
      </c>
      <c r="G475" s="12"/>
      <c r="H475" s="12"/>
      <c r="I475" s="13">
        <v>0</v>
      </c>
      <c r="J475" s="13">
        <v>0</v>
      </c>
      <c r="K475" s="14" t="str">
        <f t="shared" si="76"/>
        <v>Twitter for Android</v>
      </c>
      <c r="L475" s="13">
        <v>153</v>
      </c>
      <c r="M475" s="13">
        <v>339</v>
      </c>
      <c r="N475" s="13">
        <v>1</v>
      </c>
      <c r="O475" s="15"/>
      <c r="P475" s="6">
        <v>41344.450567129628</v>
      </c>
      <c r="Q475" s="16" t="s">
        <v>200</v>
      </c>
      <c r="R475" s="17" t="s">
        <v>1996</v>
      </c>
      <c r="S475" s="12"/>
      <c r="T475" s="12"/>
      <c r="U475" s="10" t="str">
        <f>HYPERLINK("https://pbs.twimg.com/profile_images/3378421563/8217c565a1c8950d57afee94c09b55ea.jpeg","View")</f>
        <v>View</v>
      </c>
    </row>
    <row r="476" spans="1:21" ht="51">
      <c r="A476" s="6">
        <v>43442.346273148149</v>
      </c>
      <c r="B476" s="7" t="str">
        <f>HYPERLINK("https://twitter.com/GonzaRBB","@GonzaRBB")</f>
        <v>@GonzaRBB</v>
      </c>
      <c r="C476" s="8" t="s">
        <v>1997</v>
      </c>
      <c r="D476" s="9" t="s">
        <v>1998</v>
      </c>
      <c r="E476" s="10" t="str">
        <f>HYPERLINK("https://twitter.com/GonzaRBB/status/1071303021919920128","1071303021919920128")</f>
        <v>1071303021919920128</v>
      </c>
      <c r="F476" s="16" t="s">
        <v>1999</v>
      </c>
      <c r="G476" s="12"/>
      <c r="H476" s="12"/>
      <c r="I476" s="13">
        <v>0</v>
      </c>
      <c r="J476" s="13">
        <v>1</v>
      </c>
      <c r="K476" s="14" t="str">
        <f t="shared" si="76"/>
        <v>Twitter for Android</v>
      </c>
      <c r="L476" s="13">
        <v>317</v>
      </c>
      <c r="M476" s="13">
        <v>141</v>
      </c>
      <c r="N476" s="13">
        <v>4</v>
      </c>
      <c r="O476" s="15"/>
      <c r="P476" s="6">
        <v>40848.620335648149</v>
      </c>
      <c r="Q476" s="16" t="s">
        <v>2000</v>
      </c>
      <c r="R476" s="17" t="s">
        <v>2001</v>
      </c>
      <c r="S476" s="12"/>
      <c r="T476" s="12"/>
      <c r="U476" s="10" t="str">
        <f>HYPERLINK("https://pbs.twimg.com/profile_images/1009419498724777984/pBCuLAl-.jpg","View")</f>
        <v>View</v>
      </c>
    </row>
    <row r="477" spans="1:21" ht="20.399999999999999">
      <c r="A477" s="6">
        <v>43442.344571759255</v>
      </c>
      <c r="B477" s="7" t="str">
        <f>HYPERLINK("https://twitter.com/M50manuM","@M50manuM")</f>
        <v>@M50manuM</v>
      </c>
      <c r="C477" s="8" t="s">
        <v>2002</v>
      </c>
      <c r="D477" s="9" t="s">
        <v>2003</v>
      </c>
      <c r="E477" s="10" t="str">
        <f>HYPERLINK("https://twitter.com/M50manuM/status/1071302403054551040","1071302403054551040")</f>
        <v>1071302403054551040</v>
      </c>
      <c r="F477" s="11" t="s">
        <v>2004</v>
      </c>
      <c r="G477" s="12"/>
      <c r="H477" s="12"/>
      <c r="I477" s="13">
        <v>0</v>
      </c>
      <c r="J477" s="13">
        <v>0</v>
      </c>
      <c r="K477" s="14" t="str">
        <f>HYPERLINK("http://www.crowdfireapp.com","Crowdfire - Go Big")</f>
        <v>Crowdfire - Go Big</v>
      </c>
      <c r="L477" s="13">
        <v>1173</v>
      </c>
      <c r="M477" s="13">
        <v>744</v>
      </c>
      <c r="N477" s="13">
        <v>11</v>
      </c>
      <c r="O477" s="15"/>
      <c r="P477" s="6">
        <v>41909.907349537039</v>
      </c>
      <c r="Q477" s="12"/>
      <c r="R477" s="17" t="s">
        <v>2005</v>
      </c>
      <c r="S477" s="12"/>
      <c r="T477" s="12"/>
      <c r="U477" s="10" t="str">
        <f>HYPERLINK("https://pbs.twimg.com/profile_images/953691202829914112/i-WleAQY.jpg","View")</f>
        <v>View</v>
      </c>
    </row>
    <row r="478" spans="1:21" ht="20.399999999999999">
      <c r="A478" s="6">
        <v>43442.343356481477</v>
      </c>
      <c r="B478" s="7" t="str">
        <f>HYPERLINK("https://twitter.com/soylibre92","@soylibre92")</f>
        <v>@soylibre92</v>
      </c>
      <c r="C478" s="8" t="s">
        <v>2006</v>
      </c>
      <c r="D478" s="9" t="s">
        <v>31</v>
      </c>
      <c r="E478" s="10" t="str">
        <f>HYPERLINK("https://twitter.com/soylibre92/status/1071301963013349376","1071301963013349376")</f>
        <v>1071301963013349376</v>
      </c>
      <c r="F478" s="11" t="s">
        <v>2007</v>
      </c>
      <c r="G478" s="12"/>
      <c r="H478" s="12"/>
      <c r="I478" s="13">
        <v>0</v>
      </c>
      <c r="J478" s="13">
        <v>0</v>
      </c>
      <c r="K478" s="14" t="str">
        <f t="shared" ref="K478:K479" si="77">HYPERLINK("http://twitter.com","Twitter Web Client")</f>
        <v>Twitter Web Client</v>
      </c>
      <c r="L478" s="13">
        <v>470</v>
      </c>
      <c r="M478" s="13">
        <v>1010</v>
      </c>
      <c r="N478" s="13">
        <v>50</v>
      </c>
      <c r="O478" s="15"/>
      <c r="P478" s="6">
        <v>42027.708136574074</v>
      </c>
      <c r="Q478" s="12"/>
      <c r="R478" s="17" t="s">
        <v>2008</v>
      </c>
      <c r="S478" s="12"/>
      <c r="T478" s="12"/>
      <c r="U478" s="18" t="s">
        <v>67</v>
      </c>
    </row>
    <row r="479" spans="1:21" ht="30.6">
      <c r="A479" s="6">
        <v>43442.340891203705</v>
      </c>
      <c r="B479" s="7" t="str">
        <f>HYPERLINK("https://twitter.com/Yanayer23","@Yanayer23")</f>
        <v>@Yanayer23</v>
      </c>
      <c r="C479" s="8" t="s">
        <v>2009</v>
      </c>
      <c r="D479" s="9" t="s">
        <v>2010</v>
      </c>
      <c r="E479" s="10" t="str">
        <f>HYPERLINK("https://twitter.com/Yanayer23/status/1071301069664346112","1071301069664346112")</f>
        <v>1071301069664346112</v>
      </c>
      <c r="F479" s="11" t="s">
        <v>1314</v>
      </c>
      <c r="G479" s="12"/>
      <c r="H479" s="12"/>
      <c r="I479" s="13">
        <v>1</v>
      </c>
      <c r="J479" s="13">
        <v>2</v>
      </c>
      <c r="K479" s="14" t="str">
        <f t="shared" si="77"/>
        <v>Twitter Web Client</v>
      </c>
      <c r="L479" s="13">
        <v>155</v>
      </c>
      <c r="M479" s="13">
        <v>225</v>
      </c>
      <c r="N479" s="13">
        <v>0</v>
      </c>
      <c r="O479" s="15"/>
      <c r="P479" s="6">
        <v>40680.897743055553</v>
      </c>
      <c r="Q479" s="16" t="s">
        <v>200</v>
      </c>
      <c r="R479" s="17" t="s">
        <v>2011</v>
      </c>
      <c r="S479" s="12"/>
      <c r="T479" s="12"/>
      <c r="U479" s="10" t="str">
        <f>HYPERLINK("https://pbs.twimg.com/profile_images/1359783872/vittali.JPG","View")</f>
        <v>View</v>
      </c>
    </row>
    <row r="480" spans="1:21" ht="30.6">
      <c r="A480" s="6">
        <v>43442.340069444443</v>
      </c>
      <c r="B480" s="7" t="str">
        <f>HYPERLINK("https://twitter.com/Mariadetabarnia","@Mariadetabarnia")</f>
        <v>@Mariadetabarnia</v>
      </c>
      <c r="C480" s="8" t="s">
        <v>2012</v>
      </c>
      <c r="D480" s="9" t="s">
        <v>892</v>
      </c>
      <c r="E480" s="10" t="str">
        <f>HYPERLINK("https://twitter.com/Mariadetabarnia/status/1071300771273154561","1071300771273154561")</f>
        <v>1071300771273154561</v>
      </c>
      <c r="F480" s="11" t="s">
        <v>893</v>
      </c>
      <c r="G480" s="12"/>
      <c r="H480" s="12"/>
      <c r="I480" s="13">
        <v>0</v>
      </c>
      <c r="J480" s="13">
        <v>0</v>
      </c>
      <c r="K480" s="14" t="str">
        <f t="shared" ref="K480:K481" si="78">HYPERLINK("http://twitter.com/download/android","Twitter for Android")</f>
        <v>Twitter for Android</v>
      </c>
      <c r="L480" s="13">
        <v>168</v>
      </c>
      <c r="M480" s="13">
        <v>22</v>
      </c>
      <c r="N480" s="13">
        <v>0</v>
      </c>
      <c r="O480" s="15"/>
      <c r="P480" s="6">
        <v>40439.982129629629</v>
      </c>
      <c r="Q480" s="12"/>
      <c r="R480" s="17" t="s">
        <v>2013</v>
      </c>
      <c r="S480" s="12"/>
      <c r="T480" s="12"/>
      <c r="U480" s="10" t="str">
        <f>HYPERLINK("https://pbs.twimg.com/profile_images/1029418929091997701/X8joQICH.jpg","View")</f>
        <v>View</v>
      </c>
    </row>
    <row r="481" spans="1:21" ht="40.799999999999997">
      <c r="A481" s="6">
        <v>43442.337164351848</v>
      </c>
      <c r="B481" s="7" t="str">
        <f>HYPERLINK("https://twitter.com/DavidLVizcaino","@DavidLVizcaino")</f>
        <v>@DavidLVizcaino</v>
      </c>
      <c r="C481" s="8" t="s">
        <v>2014</v>
      </c>
      <c r="D481" s="9" t="s">
        <v>2015</v>
      </c>
      <c r="E481" s="10" t="str">
        <f>HYPERLINK("https://twitter.com/DavidLVizcaino/status/1071299718930665472","1071299718930665472")</f>
        <v>1071299718930665472</v>
      </c>
      <c r="F481" s="12"/>
      <c r="G481" s="12"/>
      <c r="H481" s="12"/>
      <c r="I481" s="13">
        <v>1</v>
      </c>
      <c r="J481" s="13">
        <v>0</v>
      </c>
      <c r="K481" s="14" t="str">
        <f t="shared" si="78"/>
        <v>Twitter for Android</v>
      </c>
      <c r="L481" s="13">
        <v>1478</v>
      </c>
      <c r="M481" s="13">
        <v>1066</v>
      </c>
      <c r="N481" s="13">
        <v>18</v>
      </c>
      <c r="O481" s="15"/>
      <c r="P481" s="6">
        <v>41942.674942129626</v>
      </c>
      <c r="Q481" s="12"/>
      <c r="R481" s="17" t="s">
        <v>2016</v>
      </c>
      <c r="S481" s="11" t="s">
        <v>2017</v>
      </c>
      <c r="T481" s="12"/>
      <c r="U481" s="10" t="str">
        <f>HYPERLINK("https://pbs.twimg.com/profile_images/527842323359465472/A8-dtjg2.jpeg","View")</f>
        <v>View</v>
      </c>
    </row>
    <row r="482" spans="1:21" ht="81.599999999999994">
      <c r="A482" s="6">
        <v>43442.335312499999</v>
      </c>
      <c r="B482" s="7" t="str">
        <f>HYPERLINK("https://twitter.com/ATCoco2017","@ATCoco2017")</f>
        <v>@ATCoco2017</v>
      </c>
      <c r="C482" s="8" t="s">
        <v>2019</v>
      </c>
      <c r="D482" s="9" t="s">
        <v>2020</v>
      </c>
      <c r="E482" s="10" t="str">
        <f>HYPERLINK("https://twitter.com/ATCoco2017/status/1071299049272299520","1071299049272299520")</f>
        <v>1071299049272299520</v>
      </c>
      <c r="F482" s="16" t="s">
        <v>2021</v>
      </c>
      <c r="G482" s="12"/>
      <c r="H482" s="12"/>
      <c r="I482" s="13">
        <v>0</v>
      </c>
      <c r="J482" s="13">
        <v>0</v>
      </c>
      <c r="K482" s="14" t="str">
        <f>HYPERLINK("http://twitter.com/download/iphone","Twitter for iPhone")</f>
        <v>Twitter for iPhone</v>
      </c>
      <c r="L482" s="13">
        <v>345</v>
      </c>
      <c r="M482" s="13">
        <v>88</v>
      </c>
      <c r="N482" s="13">
        <v>4</v>
      </c>
      <c r="O482" s="15"/>
      <c r="P482" s="6">
        <v>43012.361898148149</v>
      </c>
      <c r="Q482" s="16" t="s">
        <v>2025</v>
      </c>
      <c r="R482" s="19"/>
      <c r="S482" s="12"/>
      <c r="T482" s="12"/>
      <c r="U482" s="10" t="str">
        <f>HYPERLINK("https://pbs.twimg.com/profile_images/953191161405026304/WmZYMXL5.jpg","View")</f>
        <v>View</v>
      </c>
    </row>
    <row r="483" spans="1:21" ht="20.399999999999999">
      <c r="A483" s="6">
        <v>43442.33393518519</v>
      </c>
      <c r="B483" s="7" t="str">
        <f>HYPERLINK("https://twitter.com/AlfonsoRojoPD","@AlfonsoRojoPD")</f>
        <v>@AlfonsoRojoPD</v>
      </c>
      <c r="C483" s="8" t="s">
        <v>2026</v>
      </c>
      <c r="D483" s="9" t="s">
        <v>2027</v>
      </c>
      <c r="E483" s="10" t="str">
        <f>HYPERLINK("https://twitter.com/AlfonsoRojoPD/status/1071298548308819968","1071298548308819968")</f>
        <v>1071298548308819968</v>
      </c>
      <c r="F483" s="11" t="s">
        <v>2028</v>
      </c>
      <c r="G483" s="12"/>
      <c r="H483" s="12"/>
      <c r="I483" s="13">
        <v>10</v>
      </c>
      <c r="J483" s="13">
        <v>9</v>
      </c>
      <c r="K483" s="14" t="str">
        <f>HYPERLINK("http://twitter.com","Twitter Web Client")</f>
        <v>Twitter Web Client</v>
      </c>
      <c r="L483" s="13">
        <v>49129</v>
      </c>
      <c r="M483" s="13">
        <v>0</v>
      </c>
      <c r="N483" s="13">
        <v>678</v>
      </c>
      <c r="O483" s="18" t="s">
        <v>41</v>
      </c>
      <c r="P483" s="6">
        <v>41704.447048611109</v>
      </c>
      <c r="Q483" s="16" t="s">
        <v>200</v>
      </c>
      <c r="R483" s="17" t="s">
        <v>2029</v>
      </c>
      <c r="S483" s="11" t="s">
        <v>2030</v>
      </c>
      <c r="T483" s="12"/>
      <c r="U483" s="10" t="str">
        <f>HYPERLINK("https://pbs.twimg.com/profile_images/441511791210663936/QbI_6aXh.jpeg","View")</f>
        <v>View</v>
      </c>
    </row>
    <row r="484" spans="1:21" ht="51">
      <c r="A484" s="6">
        <v>43442.332696759258</v>
      </c>
      <c r="B484" s="7" t="str">
        <f>HYPERLINK("https://twitter.com/AhoraCantabria","@AhoraCantabria")</f>
        <v>@AhoraCantabria</v>
      </c>
      <c r="C484" s="8" t="s">
        <v>2031</v>
      </c>
      <c r="D484" s="9" t="s">
        <v>2032</v>
      </c>
      <c r="E484" s="10" t="str">
        <f>HYPERLINK("https://twitter.com/AhoraCantabria/status/1071298100059430913","1071298100059430913")</f>
        <v>1071298100059430913</v>
      </c>
      <c r="F484" s="12"/>
      <c r="G484" s="11" t="s">
        <v>2033</v>
      </c>
      <c r="H484" s="12"/>
      <c r="I484" s="13">
        <v>1</v>
      </c>
      <c r="J484" s="13">
        <v>2</v>
      </c>
      <c r="K484" s="14" t="str">
        <f>HYPERLINK("https://buffer.com","Buffer")</f>
        <v>Buffer</v>
      </c>
      <c r="L484" s="13">
        <v>8608</v>
      </c>
      <c r="M484" s="13">
        <v>1423</v>
      </c>
      <c r="N484" s="13">
        <v>134</v>
      </c>
      <c r="O484" s="15"/>
      <c r="P484" s="6">
        <v>41200.829687500001</v>
      </c>
      <c r="Q484" s="16" t="s">
        <v>282</v>
      </c>
      <c r="R484" s="17" t="s">
        <v>2034</v>
      </c>
      <c r="S484" s="11" t="s">
        <v>2035</v>
      </c>
      <c r="T484" s="12"/>
      <c r="U484" s="10" t="str">
        <f>HYPERLINK("https://pbs.twimg.com/profile_images/978940959617617922/UqYGk2Wc.jpg","View")</f>
        <v>View</v>
      </c>
    </row>
    <row r="485" spans="1:21" ht="30.6">
      <c r="A485" s="6">
        <v>43442.32068287037</v>
      </c>
      <c r="B485" s="7" t="str">
        <f>HYPERLINK("https://twitter.com/vierabreil","@vierabreil")</f>
        <v>@vierabreil</v>
      </c>
      <c r="C485" s="8" t="s">
        <v>2036</v>
      </c>
      <c r="D485" s="9" t="s">
        <v>1735</v>
      </c>
      <c r="E485" s="10" t="str">
        <f>HYPERLINK("https://twitter.com/vierabreil/status/1071293747361669120","1071293747361669120")</f>
        <v>1071293747361669120</v>
      </c>
      <c r="F485" s="11" t="s">
        <v>2037</v>
      </c>
      <c r="G485" s="12"/>
      <c r="H485" s="12"/>
      <c r="I485" s="13">
        <v>0</v>
      </c>
      <c r="J485" s="13">
        <v>0</v>
      </c>
      <c r="K485" s="14" t="str">
        <f>HYPERLINK("http://twitter.com/download/iphone","Twitter for iPhone")</f>
        <v>Twitter for iPhone</v>
      </c>
      <c r="L485" s="13">
        <v>2653</v>
      </c>
      <c r="M485" s="13">
        <v>1531</v>
      </c>
      <c r="N485" s="13">
        <v>40</v>
      </c>
      <c r="O485" s="15"/>
      <c r="P485" s="6">
        <v>40883.732141203705</v>
      </c>
      <c r="Q485" s="16" t="s">
        <v>2038</v>
      </c>
      <c r="R485" s="17" t="s">
        <v>2039</v>
      </c>
      <c r="S485" s="12"/>
      <c r="T485" s="12"/>
      <c r="U485" s="10" t="str">
        <f>HYPERLINK("https://pbs.twimg.com/profile_images/997239362210353152/QgRcwRQI.jpg","View")</f>
        <v>View</v>
      </c>
    </row>
    <row r="486" spans="1:21" ht="20.399999999999999">
      <c r="A486" s="6">
        <v>43442.315717592588</v>
      </c>
      <c r="B486" s="7" t="str">
        <f>HYPERLINK("https://twitter.com/EP_Mundo","@EP_Mundo")</f>
        <v>@EP_Mundo</v>
      </c>
      <c r="C486" s="8" t="s">
        <v>735</v>
      </c>
      <c r="D486" s="9" t="s">
        <v>736</v>
      </c>
      <c r="E486" s="10" t="str">
        <f>HYPERLINK("https://twitter.com/EP_Mundo/status/1071291945643896832","1071291945643896832")</f>
        <v>1071291945643896832</v>
      </c>
      <c r="F486" s="11" t="s">
        <v>737</v>
      </c>
      <c r="G486" s="11" t="s">
        <v>2040</v>
      </c>
      <c r="H486" s="12"/>
      <c r="I486" s="13">
        <v>0</v>
      </c>
      <c r="J486" s="13">
        <v>0</v>
      </c>
      <c r="K486" s="14" t="str">
        <f>HYPERLINK("http://epmundo.com","Tuiteo TOP EP (2)")</f>
        <v>Tuiteo TOP EP (2)</v>
      </c>
      <c r="L486" s="13">
        <v>510220</v>
      </c>
      <c r="M486" s="13">
        <v>301867</v>
      </c>
      <c r="N486" s="13">
        <v>1363</v>
      </c>
      <c r="O486" s="15"/>
      <c r="P486" s="6">
        <v>40203.223078703704</v>
      </c>
      <c r="Q486" s="12"/>
      <c r="R486" s="17" t="s">
        <v>739</v>
      </c>
      <c r="S486" s="11" t="s">
        <v>740</v>
      </c>
      <c r="T486" s="12"/>
      <c r="U486" s="10" t="str">
        <f>HYPERLINK("https://pbs.twimg.com/profile_images/958329583778099200/87-xiuzB.jpg","View")</f>
        <v>View</v>
      </c>
    </row>
    <row r="487" spans="1:21" ht="51">
      <c r="A487" s="6">
        <v>43442.308368055557</v>
      </c>
      <c r="B487" s="7" t="str">
        <f>HYPERLINK("https://twitter.com/blogpaisbizarro","@blogpaisbizarro")</f>
        <v>@blogpaisbizarro</v>
      </c>
      <c r="C487" s="8" t="s">
        <v>2042</v>
      </c>
      <c r="D487" s="9" t="s">
        <v>2043</v>
      </c>
      <c r="E487" s="10" t="str">
        <f>HYPERLINK("https://twitter.com/blogpaisbizarro/status/1071289282525048833","1071289282525048833")</f>
        <v>1071289282525048833</v>
      </c>
      <c r="F487" s="12"/>
      <c r="G487" s="12"/>
      <c r="H487" s="12"/>
      <c r="I487" s="13">
        <v>0</v>
      </c>
      <c r="J487" s="13">
        <v>0</v>
      </c>
      <c r="K487" s="14" t="str">
        <f>HYPERLINK("http://twitter.com","Twitter Web Client")</f>
        <v>Twitter Web Client</v>
      </c>
      <c r="L487" s="13">
        <v>19733</v>
      </c>
      <c r="M487" s="13">
        <v>12294</v>
      </c>
      <c r="N487" s="13">
        <v>103</v>
      </c>
      <c r="O487" s="15"/>
      <c r="P487" s="6">
        <v>40535.004560185189</v>
      </c>
      <c r="Q487" s="16" t="s">
        <v>2045</v>
      </c>
      <c r="R487" s="17" t="s">
        <v>2046</v>
      </c>
      <c r="S487" s="11" t="s">
        <v>2047</v>
      </c>
      <c r="T487" s="12"/>
      <c r="U487" s="10" t="str">
        <f>HYPERLINK("https://pbs.twimg.com/profile_images/716580806009991168/fqaPDMZE.jpg","View")</f>
        <v>View</v>
      </c>
    </row>
    <row r="488" spans="1:21" ht="51">
      <c r="A488" s="6">
        <v>43442.298136574071</v>
      </c>
      <c r="B488" s="7" t="str">
        <f>HYPERLINK("https://twitter.com/Libertad_Org","@Libertad_Org")</f>
        <v>@Libertad_Org</v>
      </c>
      <c r="C488" s="8" t="s">
        <v>2048</v>
      </c>
      <c r="D488" s="9" t="s">
        <v>2049</v>
      </c>
      <c r="E488" s="10" t="str">
        <f>HYPERLINK("https://twitter.com/Libertad_Org/status/1071285576228253697","1071285576228253697")</f>
        <v>1071285576228253697</v>
      </c>
      <c r="F488" s="11" t="s">
        <v>2050</v>
      </c>
      <c r="G488" s="12"/>
      <c r="H488" s="12"/>
      <c r="I488" s="13">
        <v>2</v>
      </c>
      <c r="J488" s="13">
        <v>3</v>
      </c>
      <c r="K488" s="14" t="str">
        <f>HYPERLINK("https://ifttt.com","IFTTT")</f>
        <v>IFTTT</v>
      </c>
      <c r="L488" s="13">
        <v>64</v>
      </c>
      <c r="M488" s="13">
        <v>5</v>
      </c>
      <c r="N488" s="13">
        <v>3</v>
      </c>
      <c r="O488" s="15"/>
      <c r="P488" s="6">
        <v>42408.703611111108</v>
      </c>
      <c r="Q488" s="12"/>
      <c r="R488" s="19"/>
      <c r="S488" s="12"/>
      <c r="T488" s="12"/>
      <c r="U488" s="10" t="str">
        <f>HYPERLINK("https://pbs.twimg.com/profile_images/696724312582176768/nwfGYFE5.png","View")</f>
        <v>View</v>
      </c>
    </row>
    <row r="489" spans="1:21" ht="30.6">
      <c r="A489" s="6">
        <v>43442.297777777778</v>
      </c>
      <c r="B489" s="7" t="str">
        <f>HYPERLINK("https://twitter.com/victoriajuarezc","@victoriajuarezc")</f>
        <v>@victoriajuarezc</v>
      </c>
      <c r="C489" s="8" t="s">
        <v>2051</v>
      </c>
      <c r="D489" s="9" t="s">
        <v>2052</v>
      </c>
      <c r="E489" s="10" t="str">
        <f>HYPERLINK("https://twitter.com/victoriajuarezc/status/1071285446611742725","1071285446611742725")</f>
        <v>1071285446611742725</v>
      </c>
      <c r="F489" s="11" t="s">
        <v>246</v>
      </c>
      <c r="G489" s="12"/>
      <c r="H489" s="12"/>
      <c r="I489" s="13">
        <v>1</v>
      </c>
      <c r="J489" s="13">
        <v>0</v>
      </c>
      <c r="K489" s="14" t="str">
        <f>HYPERLINK("http://twitter.com/download/android","Twitter for Android")</f>
        <v>Twitter for Android</v>
      </c>
      <c r="L489" s="13">
        <v>1772</v>
      </c>
      <c r="M489" s="13">
        <v>2747</v>
      </c>
      <c r="N489" s="13">
        <v>11</v>
      </c>
      <c r="O489" s="15"/>
      <c r="P489" s="6">
        <v>41314.791701388887</v>
      </c>
      <c r="Q489" s="16" t="s">
        <v>2053</v>
      </c>
      <c r="R489" s="17" t="s">
        <v>2054</v>
      </c>
      <c r="S489" s="12"/>
      <c r="T489" s="12"/>
      <c r="U489" s="10" t="str">
        <f>HYPERLINK("https://pbs.twimg.com/profile_images/785230450155483136/v1Cqzzpp.jpg","View")</f>
        <v>View</v>
      </c>
    </row>
    <row r="490" spans="1:21" ht="13.2">
      <c r="A490" s="6">
        <v>43442.295277777783</v>
      </c>
      <c r="B490" s="7" t="str">
        <f>HYPERLINK("https://twitter.com/Leticiasincoron","@Leticiasincoron")</f>
        <v>@Leticiasincoron</v>
      </c>
      <c r="C490" s="8" t="s">
        <v>2055</v>
      </c>
      <c r="D490" s="9" t="s">
        <v>2056</v>
      </c>
      <c r="E490" s="10" t="str">
        <f>HYPERLINK("https://twitter.com/Leticiasincoron/status/1071284539060879361","1071284539060879361")</f>
        <v>1071284539060879361</v>
      </c>
      <c r="F490" s="12"/>
      <c r="G490" s="12"/>
      <c r="H490" s="12"/>
      <c r="I490" s="13">
        <v>0</v>
      </c>
      <c r="J490" s="13">
        <v>0</v>
      </c>
      <c r="K490" s="14" t="str">
        <f>HYPERLINK("http://twitter.com","Twitter Web Client")</f>
        <v>Twitter Web Client</v>
      </c>
      <c r="L490" s="13">
        <v>6</v>
      </c>
      <c r="M490" s="13">
        <v>18</v>
      </c>
      <c r="N490" s="13">
        <v>0</v>
      </c>
      <c r="O490" s="15"/>
      <c r="P490" s="6">
        <v>41265.365324074075</v>
      </c>
      <c r="Q490" s="12"/>
      <c r="R490" s="19"/>
      <c r="S490" s="12"/>
      <c r="T490" s="12"/>
      <c r="U490" s="18" t="s">
        <v>67</v>
      </c>
    </row>
    <row r="491" spans="1:21" ht="20.399999999999999">
      <c r="A491" s="6">
        <v>43442.294710648144</v>
      </c>
      <c r="B491" s="7" t="str">
        <f>HYPERLINK("https://twitter.com/OkdEconomia","@OkdEconomia")</f>
        <v>@OkdEconomia</v>
      </c>
      <c r="C491" s="8" t="s">
        <v>2057</v>
      </c>
      <c r="D491" s="9" t="s">
        <v>31</v>
      </c>
      <c r="E491" s="10" t="str">
        <f>HYPERLINK("https://twitter.com/OkdEconomia/status/1071284332839534592","1071284332839534592")</f>
        <v>1071284332839534592</v>
      </c>
      <c r="F491" s="11" t="s">
        <v>2058</v>
      </c>
      <c r="G491" s="12"/>
      <c r="H491" s="12"/>
      <c r="I491" s="13">
        <v>0</v>
      </c>
      <c r="J491" s="13">
        <v>0</v>
      </c>
      <c r="K491" s="14" t="str">
        <f>HYPERLINK("https://www.echobox.com","Echobox Social")</f>
        <v>Echobox Social</v>
      </c>
      <c r="L491" s="13">
        <v>499</v>
      </c>
      <c r="M491" s="13">
        <v>137</v>
      </c>
      <c r="N491" s="13">
        <v>1</v>
      </c>
      <c r="O491" s="15"/>
      <c r="P491" s="6">
        <v>43250.721377314811</v>
      </c>
      <c r="Q491" s="12"/>
      <c r="R491" s="19"/>
      <c r="S491" s="12"/>
      <c r="T491" s="12"/>
      <c r="U491" s="10" t="str">
        <f>HYPERLINK("https://pbs.twimg.com/profile_images/1001879816453459968/rOP5DxNL.jpg","View")</f>
        <v>View</v>
      </c>
    </row>
    <row r="492" spans="1:21" ht="13.2">
      <c r="A492" s="6">
        <v>43442.292499999996</v>
      </c>
      <c r="B492" s="7" t="str">
        <f>HYPERLINK("https://twitter.com/_Javiherr_","@_Javiherr_")</f>
        <v>@_Javiherr_</v>
      </c>
      <c r="C492" s="8" t="s">
        <v>2059</v>
      </c>
      <c r="D492" s="9" t="s">
        <v>1175</v>
      </c>
      <c r="E492" s="10" t="str">
        <f>HYPERLINK("https://twitter.com/_Javiherr_/status/1071283532436246530","1071283532436246530")</f>
        <v>1071283532436246530</v>
      </c>
      <c r="F492" s="11" t="s">
        <v>1176</v>
      </c>
      <c r="G492" s="12"/>
      <c r="H492" s="12"/>
      <c r="I492" s="13">
        <v>0</v>
      </c>
      <c r="J492" s="13">
        <v>0</v>
      </c>
      <c r="K492" s="14" t="str">
        <f>HYPERLINK("http://twitter.com","Twitter Web Client")</f>
        <v>Twitter Web Client</v>
      </c>
      <c r="L492" s="13">
        <v>154</v>
      </c>
      <c r="M492" s="13">
        <v>546</v>
      </c>
      <c r="N492" s="13">
        <v>6</v>
      </c>
      <c r="O492" s="15"/>
      <c r="P492" s="6">
        <v>40409.508252314816</v>
      </c>
      <c r="Q492" s="16" t="s">
        <v>2060</v>
      </c>
      <c r="R492" s="17" t="s">
        <v>2061</v>
      </c>
      <c r="S492" s="12"/>
      <c r="T492" s="12"/>
      <c r="U492" s="10" t="str">
        <f>HYPERLINK("https://pbs.twimg.com/profile_images/1107710725/opticalilusion.jpg","View")</f>
        <v>View</v>
      </c>
    </row>
    <row r="493" spans="1:21" ht="51">
      <c r="A493" s="6">
        <v>43442.29173611111</v>
      </c>
      <c r="B493" s="7" t="str">
        <f>HYPERLINK("https://twitter.com/europapress","@europapress")</f>
        <v>@europapress</v>
      </c>
      <c r="C493" s="8" t="s">
        <v>2062</v>
      </c>
      <c r="D493" s="9" t="s">
        <v>2063</v>
      </c>
      <c r="E493" s="10" t="str">
        <f>HYPERLINK("https://twitter.com/europapress/status/1071283257512206336","1071283257512206336")</f>
        <v>1071283257512206336</v>
      </c>
      <c r="F493" s="11" t="s">
        <v>2064</v>
      </c>
      <c r="G493" s="12"/>
      <c r="H493" s="12"/>
      <c r="I493" s="13">
        <v>14</v>
      </c>
      <c r="J493" s="13">
        <v>16</v>
      </c>
      <c r="K493" s="14" t="str">
        <f>HYPERLINK("https://www.hootsuite.com","Hootsuite Inc.")</f>
        <v>Hootsuite Inc.</v>
      </c>
      <c r="L493" s="13">
        <v>1100739</v>
      </c>
      <c r="M493" s="13">
        <v>1101</v>
      </c>
      <c r="N493" s="13">
        <v>13754</v>
      </c>
      <c r="O493" s="18" t="s">
        <v>41</v>
      </c>
      <c r="P493" s="6">
        <v>40246.461956018517</v>
      </c>
      <c r="Q493" s="12"/>
      <c r="R493" s="17" t="s">
        <v>2065</v>
      </c>
      <c r="S493" s="11" t="s">
        <v>2066</v>
      </c>
      <c r="T493" s="12"/>
      <c r="U493" s="10" t="str">
        <f>HYPERLINK("https://pbs.twimg.com/profile_images/876740155473788928/4V7ewUTC.jpg","View")</f>
        <v>View</v>
      </c>
    </row>
    <row r="494" spans="1:21" ht="20.399999999999999">
      <c r="A494" s="6">
        <v>43442.287662037037</v>
      </c>
      <c r="B494" s="7" t="str">
        <f>HYPERLINK("https://twitter.com/M_AguilarBordas","@M_AguilarBordas")</f>
        <v>@M_AguilarBordas</v>
      </c>
      <c r="C494" s="8" t="s">
        <v>2067</v>
      </c>
      <c r="D494" s="9" t="s">
        <v>2068</v>
      </c>
      <c r="E494" s="10" t="str">
        <f>HYPERLINK("https://twitter.com/M_AguilarBordas/status/1071281780127358976","1071281780127358976")</f>
        <v>1071281780127358976</v>
      </c>
      <c r="F494" s="11" t="s">
        <v>2069</v>
      </c>
      <c r="G494" s="12"/>
      <c r="H494" s="12"/>
      <c r="I494" s="13">
        <v>0</v>
      </c>
      <c r="J494" s="13">
        <v>0</v>
      </c>
      <c r="K494" s="14" t="str">
        <f>HYPERLINK("http://twitter.com","Twitter Web Client")</f>
        <v>Twitter Web Client</v>
      </c>
      <c r="L494" s="13">
        <v>995</v>
      </c>
      <c r="M494" s="13">
        <v>1262</v>
      </c>
      <c r="N494" s="13">
        <v>24</v>
      </c>
      <c r="O494" s="15"/>
      <c r="P494" s="6">
        <v>40386.775057870371</v>
      </c>
      <c r="Q494" s="12"/>
      <c r="R494" s="19"/>
      <c r="S494" s="12"/>
      <c r="T494" s="12"/>
      <c r="U494" s="10" t="str">
        <f>HYPERLINK("https://pbs.twimg.com/profile_images/1048097238034079744/1kPZYdqG.jpg","View")</f>
        <v>View</v>
      </c>
    </row>
    <row r="495" spans="1:21" ht="40.799999999999997">
      <c r="A495" s="6">
        <v>43442.285173611112</v>
      </c>
      <c r="B495" s="7" t="str">
        <f>HYPERLINK("https://twitter.com/Diario_16","@Diario_16")</f>
        <v>@Diario_16</v>
      </c>
      <c r="C495" s="8" t="s">
        <v>2070</v>
      </c>
      <c r="D495" s="9" t="s">
        <v>2071</v>
      </c>
      <c r="E495" s="10" t="str">
        <f>HYPERLINK("https://twitter.com/Diario_16/status/1071280879803224064","1071280879803224064")</f>
        <v>1071280879803224064</v>
      </c>
      <c r="F495" s="11" t="s">
        <v>2069</v>
      </c>
      <c r="G495" s="12"/>
      <c r="H495" s="12"/>
      <c r="I495" s="13">
        <v>5</v>
      </c>
      <c r="J495" s="13">
        <v>2</v>
      </c>
      <c r="K495" s="14" t="str">
        <f>HYPERLINK("http://diario16.com/","D16Autopost")</f>
        <v>D16Autopost</v>
      </c>
      <c r="L495" s="13">
        <v>21050</v>
      </c>
      <c r="M495" s="13">
        <v>1034</v>
      </c>
      <c r="N495" s="13">
        <v>481</v>
      </c>
      <c r="O495" s="15"/>
      <c r="P495" s="6">
        <v>42341.864768518513</v>
      </c>
      <c r="Q495" s="12"/>
      <c r="R495" s="17" t="s">
        <v>2072</v>
      </c>
      <c r="S495" s="11" t="s">
        <v>2073</v>
      </c>
      <c r="T495" s="12"/>
      <c r="U495" s="10" t="str">
        <f>HYPERLINK("https://pbs.twimg.com/profile_images/900024873275281409/nuXA921H.jpg","View")</f>
        <v>View</v>
      </c>
    </row>
    <row r="496" spans="1:21" ht="51">
      <c r="A496" s="6">
        <v>43442.274398148147</v>
      </c>
      <c r="B496" s="7" t="str">
        <f>HYPERLINK("https://twitter.com/_Herce","@_Herce")</f>
        <v>@_Herce</v>
      </c>
      <c r="C496" s="8" t="s">
        <v>2074</v>
      </c>
      <c r="D496" s="9" t="s">
        <v>2075</v>
      </c>
      <c r="E496" s="10" t="str">
        <f>HYPERLINK("https://twitter.com/_Herce/status/1071276972683247616","1071276972683247616")</f>
        <v>1071276972683247616</v>
      </c>
      <c r="F496" s="11" t="s">
        <v>1376</v>
      </c>
      <c r="G496" s="12"/>
      <c r="H496" s="12"/>
      <c r="I496" s="13">
        <v>0</v>
      </c>
      <c r="J496" s="13">
        <v>1</v>
      </c>
      <c r="K496" s="14" t="str">
        <f>HYPERLINK("http://twitter.com/download/iphone","Twitter for iPhone")</f>
        <v>Twitter for iPhone</v>
      </c>
      <c r="L496" s="13">
        <v>1593</v>
      </c>
      <c r="M496" s="13">
        <v>1204</v>
      </c>
      <c r="N496" s="13">
        <v>41</v>
      </c>
      <c r="O496" s="15"/>
      <c r="P496" s="6">
        <v>41421.966157407405</v>
      </c>
      <c r="Q496" s="16" t="s">
        <v>200</v>
      </c>
      <c r="R496" s="17" t="s">
        <v>2076</v>
      </c>
      <c r="S496" s="11" t="s">
        <v>2077</v>
      </c>
      <c r="T496" s="12"/>
      <c r="U496" s="10" t="str">
        <f>HYPERLINK("https://pbs.twimg.com/profile_images/989425259425206272/d9Gejll9.jpg","View")</f>
        <v>View</v>
      </c>
    </row>
    <row r="497" spans="1:21" ht="40.799999999999997">
      <c r="A497" s="6">
        <v>43442.269039351857</v>
      </c>
      <c r="B497" s="7" t="str">
        <f t="shared" ref="B497:B498" si="79">HYPERLINK("https://twitter.com/miguelaqp","@miguelaqp")</f>
        <v>@miguelaqp</v>
      </c>
      <c r="C497" s="8" t="s">
        <v>2078</v>
      </c>
      <c r="D497" s="9" t="s">
        <v>2079</v>
      </c>
      <c r="E497" s="10" t="str">
        <f>HYPERLINK("https://twitter.com/miguelaqp/status/1071275032104632320","1071275032104632320")</f>
        <v>1071275032104632320</v>
      </c>
      <c r="F497" s="11" t="s">
        <v>2081</v>
      </c>
      <c r="G497" s="12"/>
      <c r="H497" s="12"/>
      <c r="I497" s="13">
        <v>0</v>
      </c>
      <c r="J497" s="13">
        <v>0</v>
      </c>
      <c r="K497" s="14" t="str">
        <f t="shared" ref="K497:K498" si="80">HYPERLINK("https://www.google.com/","Google")</f>
        <v>Google</v>
      </c>
      <c r="L497" s="13">
        <v>1060</v>
      </c>
      <c r="M497" s="13">
        <v>3334</v>
      </c>
      <c r="N497" s="13">
        <v>47</v>
      </c>
      <c r="O497" s="15"/>
      <c r="P497" s="6">
        <v>39886.538993055554</v>
      </c>
      <c r="Q497" s="16" t="s">
        <v>2082</v>
      </c>
      <c r="R497" s="17" t="s">
        <v>2083</v>
      </c>
      <c r="S497" s="11" t="s">
        <v>2084</v>
      </c>
      <c r="T497" s="12"/>
      <c r="U497" s="10" t="str">
        <f t="shared" ref="U497:U498" si="81">HYPERLINK("https://pbs.twimg.com/profile_images/1027771064661598208/FxvuDoLA.jpg","View")</f>
        <v>View</v>
      </c>
    </row>
    <row r="498" spans="1:21" ht="40.799999999999997">
      <c r="A498" s="6">
        <v>43442.268923611111</v>
      </c>
      <c r="B498" s="7" t="str">
        <f t="shared" si="79"/>
        <v>@miguelaqp</v>
      </c>
      <c r="C498" s="8" t="s">
        <v>2078</v>
      </c>
      <c r="D498" s="9" t="s">
        <v>2085</v>
      </c>
      <c r="E498" s="10" t="str">
        <f>HYPERLINK("https://twitter.com/miguelaqp/status/1071274990773899264","1071274990773899264")</f>
        <v>1071274990773899264</v>
      </c>
      <c r="F498" s="11" t="s">
        <v>2081</v>
      </c>
      <c r="G498" s="12"/>
      <c r="H498" s="12"/>
      <c r="I498" s="13">
        <v>0</v>
      </c>
      <c r="J498" s="13">
        <v>0</v>
      </c>
      <c r="K498" s="14" t="str">
        <f t="shared" si="80"/>
        <v>Google</v>
      </c>
      <c r="L498" s="13">
        <v>1060</v>
      </c>
      <c r="M498" s="13">
        <v>3334</v>
      </c>
      <c r="N498" s="13">
        <v>47</v>
      </c>
      <c r="O498" s="15"/>
      <c r="P498" s="6">
        <v>39886.538993055554</v>
      </c>
      <c r="Q498" s="16" t="s">
        <v>2082</v>
      </c>
      <c r="R498" s="17" t="s">
        <v>2083</v>
      </c>
      <c r="S498" s="11" t="s">
        <v>2084</v>
      </c>
      <c r="T498" s="12"/>
      <c r="U498" s="10" t="str">
        <f t="shared" si="81"/>
        <v>View</v>
      </c>
    </row>
    <row r="499" spans="1:21" ht="30.6">
      <c r="A499" s="6">
        <v>43442.259560185186</v>
      </c>
      <c r="B499" s="7" t="str">
        <f>HYPERLINK("https://twitter.com/periodicovzlano","@periodicovzlano")</f>
        <v>@periodicovzlano</v>
      </c>
      <c r="C499" s="8" t="s">
        <v>869</v>
      </c>
      <c r="D499" s="9" t="s">
        <v>714</v>
      </c>
      <c r="E499" s="10" t="str">
        <f>HYPERLINK("https://twitter.com/periodicovzlano/status/1071271596332077056","1071271596332077056")</f>
        <v>1071271596332077056</v>
      </c>
      <c r="F499" s="11" t="s">
        <v>737</v>
      </c>
      <c r="G499" s="11" t="s">
        <v>2086</v>
      </c>
      <c r="H499" s="12"/>
      <c r="I499" s="13">
        <v>1</v>
      </c>
      <c r="J499" s="13">
        <v>0</v>
      </c>
      <c r="K499" s="14" t="str">
        <f>HYPERLINK("http://epmundo.com","Tuiteo TOP EP (1)")</f>
        <v>Tuiteo TOP EP (1)</v>
      </c>
      <c r="L499" s="13">
        <v>479694</v>
      </c>
      <c r="M499" s="13">
        <v>358804</v>
      </c>
      <c r="N499" s="13">
        <v>1295</v>
      </c>
      <c r="O499" s="15"/>
      <c r="P499" s="6">
        <v>40663.3512962963</v>
      </c>
      <c r="Q499" s="16" t="s">
        <v>871</v>
      </c>
      <c r="R499" s="17" t="s">
        <v>872</v>
      </c>
      <c r="S499" s="11" t="s">
        <v>873</v>
      </c>
      <c r="T499" s="12"/>
      <c r="U499" s="10" t="str">
        <f>HYPERLINK("https://pbs.twimg.com/profile_images/958328579250638849/MCz7Q8U6.jpg","View")</f>
        <v>View</v>
      </c>
    </row>
    <row r="500" spans="1:21" ht="40.799999999999997">
      <c r="A500" s="6">
        <v>43442.239108796297</v>
      </c>
      <c r="B500" s="7" t="str">
        <f>HYPERLINK("https://twitter.com/thor_4","@thor_4")</f>
        <v>@thor_4</v>
      </c>
      <c r="C500" s="8" t="s">
        <v>2087</v>
      </c>
      <c r="D500" s="9" t="s">
        <v>2088</v>
      </c>
      <c r="E500" s="10" t="str">
        <f>HYPERLINK("https://twitter.com/thor_4/status/1071264185026338821","1071264185026338821")</f>
        <v>1071264185026338821</v>
      </c>
      <c r="F500" s="11" t="s">
        <v>2089</v>
      </c>
      <c r="G500" s="12"/>
      <c r="H500" s="12"/>
      <c r="I500" s="13">
        <v>0</v>
      </c>
      <c r="J500" s="13">
        <v>0</v>
      </c>
      <c r="K500" s="14" t="str">
        <f>HYPERLINK("http://twitter.com","Twitter Web Client")</f>
        <v>Twitter Web Client</v>
      </c>
      <c r="L500" s="13">
        <v>170</v>
      </c>
      <c r="M500" s="13">
        <v>430</v>
      </c>
      <c r="N500" s="13">
        <v>13</v>
      </c>
      <c r="O500" s="15"/>
      <c r="P500" s="6">
        <v>40549.583032407405</v>
      </c>
      <c r="Q500" s="12"/>
      <c r="R500" s="17" t="s">
        <v>2090</v>
      </c>
      <c r="S500" s="12"/>
      <c r="T500" s="12"/>
      <c r="U500" s="10" t="str">
        <f>HYPERLINK("https://pbs.twimg.com/profile_images/1322875915/311626-10-tongue-out.jpg","View")</f>
        <v>View</v>
      </c>
    </row>
    <row r="501" spans="1:21" ht="30.6">
      <c r="A501" s="6">
        <v>43442.236805555556</v>
      </c>
      <c r="B501" s="7" t="str">
        <f>HYPERLINK("https://twitter.com/RadioHuancavilk","@RadioHuancavilk")</f>
        <v>@RadioHuancavilk</v>
      </c>
      <c r="C501" s="8" t="s">
        <v>2091</v>
      </c>
      <c r="D501" s="9" t="s">
        <v>2092</v>
      </c>
      <c r="E501" s="10" t="str">
        <f>HYPERLINK("https://twitter.com/RadioHuancavilk/status/1071263349860651009","1071263349860651009")</f>
        <v>1071263349860651009</v>
      </c>
      <c r="F501" s="11" t="s">
        <v>2093</v>
      </c>
      <c r="G501" s="11" t="s">
        <v>2094</v>
      </c>
      <c r="H501" s="12"/>
      <c r="I501" s="13">
        <v>0</v>
      </c>
      <c r="J501" s="13">
        <v>0</v>
      </c>
      <c r="K501" s="14" t="str">
        <f>HYPERLINK("https://about.twitter.com/products/tweetdeck","TweetDeck")</f>
        <v>TweetDeck</v>
      </c>
      <c r="L501" s="13">
        <v>24544</v>
      </c>
      <c r="M501" s="13">
        <v>132</v>
      </c>
      <c r="N501" s="13">
        <v>195</v>
      </c>
      <c r="O501" s="15"/>
      <c r="P501" s="6">
        <v>40735.782557870371</v>
      </c>
      <c r="Q501" s="16" t="s">
        <v>2095</v>
      </c>
      <c r="R501" s="17" t="s">
        <v>2096</v>
      </c>
      <c r="S501" s="11" t="s">
        <v>2097</v>
      </c>
      <c r="T501" s="12"/>
      <c r="U501" s="10" t="str">
        <f>HYPERLINK("https://pbs.twimg.com/profile_images/1018978289006891008/08-mGGQV.jpg","View")</f>
        <v>View</v>
      </c>
    </row>
    <row r="502" spans="1:21" ht="13.2">
      <c r="A502" s="6">
        <v>43442.228055555555</v>
      </c>
      <c r="B502" s="7" t="str">
        <f>HYPERLINK("https://twitter.com/antonio71657910","@antonio71657910")</f>
        <v>@antonio71657910</v>
      </c>
      <c r="C502" s="8" t="s">
        <v>2098</v>
      </c>
      <c r="D502" s="9" t="s">
        <v>2099</v>
      </c>
      <c r="E502" s="10" t="str">
        <f>HYPERLINK("https://twitter.com/antonio71657910/status/1071260178799050752","1071260178799050752")</f>
        <v>1071260178799050752</v>
      </c>
      <c r="F502" s="12"/>
      <c r="G502" s="12"/>
      <c r="H502" s="12"/>
      <c r="I502" s="13">
        <v>0</v>
      </c>
      <c r="J502" s="13">
        <v>0</v>
      </c>
      <c r="K502" s="14" t="str">
        <f>HYPERLINK("http://twitter.com/download/iphone","Twitter for iPhone")</f>
        <v>Twitter for iPhone</v>
      </c>
      <c r="L502" s="13">
        <v>4</v>
      </c>
      <c r="M502" s="13">
        <v>84</v>
      </c>
      <c r="N502" s="13">
        <v>0</v>
      </c>
      <c r="O502" s="15"/>
      <c r="P502" s="6">
        <v>43125.639884259261</v>
      </c>
      <c r="Q502" s="16" t="s">
        <v>1223</v>
      </c>
      <c r="R502" s="17" t="s">
        <v>2100</v>
      </c>
      <c r="S502" s="12"/>
      <c r="T502" s="12"/>
      <c r="U502" s="10" t="str">
        <f>HYPERLINK("https://pbs.twimg.com/profile_images/959403314948591617/IOHWTUCT.jpg","View")</f>
        <v>View</v>
      </c>
    </row>
    <row r="503" spans="1:21" ht="30.6">
      <c r="A503" s="6">
        <v>43442.227974537032</v>
      </c>
      <c r="B503" s="7" t="str">
        <f>HYPERLINK("https://twitter.com/ramonsincajal","@ramonsincajal")</f>
        <v>@ramonsincajal</v>
      </c>
      <c r="C503" s="8" t="s">
        <v>2101</v>
      </c>
      <c r="D503" s="9" t="s">
        <v>2102</v>
      </c>
      <c r="E503" s="10" t="str">
        <f>HYPERLINK("https://twitter.com/ramonsincajal/status/1071260148080001024","1071260148080001024")</f>
        <v>1071260148080001024</v>
      </c>
      <c r="F503" s="11" t="s">
        <v>2103</v>
      </c>
      <c r="G503" s="12"/>
      <c r="H503" s="12"/>
      <c r="I503" s="13">
        <v>0</v>
      </c>
      <c r="J503" s="13">
        <v>0</v>
      </c>
      <c r="K503" s="14" t="str">
        <f>HYPERLINK("http://twitter.com/download/android","Twitter for Android")</f>
        <v>Twitter for Android</v>
      </c>
      <c r="L503" s="13">
        <v>485</v>
      </c>
      <c r="M503" s="13">
        <v>513</v>
      </c>
      <c r="N503" s="13">
        <v>9</v>
      </c>
      <c r="O503" s="15"/>
      <c r="P503" s="6">
        <v>41241.909004629633</v>
      </c>
      <c r="Q503" s="16" t="s">
        <v>2104</v>
      </c>
      <c r="R503" s="17" t="s">
        <v>2105</v>
      </c>
      <c r="S503" s="12"/>
      <c r="T503" s="12"/>
      <c r="U503" s="10" t="str">
        <f>HYPERLINK("https://pbs.twimg.com/profile_images/560899058080825344/Tf6pjeeP.jpeg","View")</f>
        <v>View</v>
      </c>
    </row>
    <row r="504" spans="1:21" ht="40.799999999999997">
      <c r="A504" s="6">
        <v>43442.206250000003</v>
      </c>
      <c r="B504" s="7" t="str">
        <f>HYPERLINK("https://twitter.com/InstitutoCato","@InstitutoCato")</f>
        <v>@InstitutoCato</v>
      </c>
      <c r="C504" s="8" t="s">
        <v>2106</v>
      </c>
      <c r="D504" s="9" t="s">
        <v>2107</v>
      </c>
      <c r="E504" s="10" t="str">
        <f>HYPERLINK("https://twitter.com/InstitutoCato/status/1071252278009577472","1071252278009577472")</f>
        <v>1071252278009577472</v>
      </c>
      <c r="F504" s="11" t="s">
        <v>2108</v>
      </c>
      <c r="G504" s="12"/>
      <c r="H504" s="12"/>
      <c r="I504" s="13">
        <v>3</v>
      </c>
      <c r="J504" s="13">
        <v>9</v>
      </c>
      <c r="K504" s="14" t="str">
        <f>HYPERLINK("https://buffer.com","Buffer")</f>
        <v>Buffer</v>
      </c>
      <c r="L504" s="13">
        <v>29882</v>
      </c>
      <c r="M504" s="13">
        <v>1288</v>
      </c>
      <c r="N504" s="13">
        <v>585</v>
      </c>
      <c r="O504" s="15"/>
      <c r="P504" s="6">
        <v>40004.968530092592</v>
      </c>
      <c r="Q504" s="16" t="s">
        <v>2109</v>
      </c>
      <c r="R504" s="17" t="s">
        <v>2110</v>
      </c>
      <c r="S504" s="11" t="s">
        <v>2111</v>
      </c>
      <c r="T504" s="12"/>
      <c r="U504" s="10" t="str">
        <f>HYPERLINK("https://pbs.twimg.com/profile_images/894648017437032453/qsl4cYUR.jpg","View")</f>
        <v>View</v>
      </c>
    </row>
    <row r="505" spans="1:21" ht="20.399999999999999">
      <c r="A505" s="6">
        <v>43442.19866898148</v>
      </c>
      <c r="B505" s="7" t="str">
        <f>HYPERLINK("https://twitter.com/EP_Mundo","@EP_Mundo")</f>
        <v>@EP_Mundo</v>
      </c>
      <c r="C505" s="8" t="s">
        <v>735</v>
      </c>
      <c r="D505" s="9" t="s">
        <v>736</v>
      </c>
      <c r="E505" s="10" t="str">
        <f>HYPERLINK("https://twitter.com/EP_Mundo/status/1071249528924311552","1071249528924311552")</f>
        <v>1071249528924311552</v>
      </c>
      <c r="F505" s="11" t="s">
        <v>737</v>
      </c>
      <c r="G505" s="11" t="s">
        <v>2112</v>
      </c>
      <c r="H505" s="12"/>
      <c r="I505" s="13">
        <v>0</v>
      </c>
      <c r="J505" s="13">
        <v>1</v>
      </c>
      <c r="K505" s="14" t="str">
        <f>HYPERLINK("http://epmundo.com","Tuiteo TOP EP (2)")</f>
        <v>Tuiteo TOP EP (2)</v>
      </c>
      <c r="L505" s="13">
        <v>510220</v>
      </c>
      <c r="M505" s="13">
        <v>301867</v>
      </c>
      <c r="N505" s="13">
        <v>1363</v>
      </c>
      <c r="O505" s="15"/>
      <c r="P505" s="6">
        <v>40203.223078703704</v>
      </c>
      <c r="Q505" s="12"/>
      <c r="R505" s="17" t="s">
        <v>739</v>
      </c>
      <c r="S505" s="11" t="s">
        <v>740</v>
      </c>
      <c r="T505" s="12"/>
      <c r="U505" s="10" t="str">
        <f>HYPERLINK("https://pbs.twimg.com/profile_images/958329583778099200/87-xiuzB.jpg","View")</f>
        <v>View</v>
      </c>
    </row>
    <row r="506" spans="1:21" ht="51">
      <c r="A506" s="6">
        <v>43442.191944444443</v>
      </c>
      <c r="B506" s="7" t="str">
        <f>HYPERLINK("https://twitter.com/SebastianasPeru","@SebastianasPeru")</f>
        <v>@SebastianasPeru</v>
      </c>
      <c r="C506" s="8" t="s">
        <v>2113</v>
      </c>
      <c r="D506" s="9" t="s">
        <v>2114</v>
      </c>
      <c r="E506" s="10" t="str">
        <f>HYPERLINK("https://twitter.com/SebastianasPeru/status/1071247091375243264","1071247091375243264")</f>
        <v>1071247091375243264</v>
      </c>
      <c r="F506" s="12"/>
      <c r="G506" s="11" t="s">
        <v>2115</v>
      </c>
      <c r="H506" s="12"/>
      <c r="I506" s="13">
        <v>0</v>
      </c>
      <c r="J506" s="13">
        <v>0</v>
      </c>
      <c r="K506" s="14" t="str">
        <f>HYPERLINK("http://twitter.com","Twitter Web Client")</f>
        <v>Twitter Web Client</v>
      </c>
      <c r="L506" s="13">
        <v>2226</v>
      </c>
      <c r="M506" s="13">
        <v>463</v>
      </c>
      <c r="N506" s="13">
        <v>29</v>
      </c>
      <c r="O506" s="15"/>
      <c r="P506" s="6">
        <v>41576.915891203702</v>
      </c>
      <c r="Q506" s="12"/>
      <c r="R506" s="17" t="s">
        <v>2116</v>
      </c>
      <c r="S506" s="12"/>
      <c r="T506" s="12"/>
      <c r="U506" s="10" t="str">
        <f>HYPERLINK("https://pbs.twimg.com/profile_images/1071293314803138560/GQdHmq90.jpg","View")</f>
        <v>View</v>
      </c>
    </row>
    <row r="507" spans="1:21" ht="20.399999999999999">
      <c r="A507" s="6">
        <v>43442.187754629631</v>
      </c>
      <c r="B507" s="7" t="str">
        <f>HYPERLINK("https://twitter.com/NotiPicante","@NotiPicante")</f>
        <v>@NotiPicante</v>
      </c>
      <c r="C507" s="8" t="s">
        <v>2117</v>
      </c>
      <c r="D507" s="9" t="s">
        <v>714</v>
      </c>
      <c r="E507" s="10" t="str">
        <f>HYPERLINK("https://twitter.com/NotiPicante/status/1071245572890345472","1071245572890345472")</f>
        <v>1071245572890345472</v>
      </c>
      <c r="F507" s="11" t="s">
        <v>715</v>
      </c>
      <c r="G507" s="11" t="s">
        <v>2118</v>
      </c>
      <c r="H507" s="12"/>
      <c r="I507" s="13">
        <v>0</v>
      </c>
      <c r="J507" s="13">
        <v>0</v>
      </c>
      <c r="K507" s="14" t="str">
        <f>HYPERLINK("http://epmundo.com","Tuiteo TOP EP (3)")</f>
        <v>Tuiteo TOP EP (3)</v>
      </c>
      <c r="L507" s="13">
        <v>24470</v>
      </c>
      <c r="M507" s="13">
        <v>24659</v>
      </c>
      <c r="N507" s="13">
        <v>63</v>
      </c>
      <c r="O507" s="15"/>
      <c r="P507" s="6">
        <v>42324.12436342593</v>
      </c>
      <c r="Q507" s="12"/>
      <c r="R507" s="17" t="s">
        <v>2119</v>
      </c>
      <c r="S507" s="12"/>
      <c r="T507" s="12"/>
      <c r="U507" s="10" t="str">
        <f>HYPERLINK("https://pbs.twimg.com/profile_images/913473995177111552/dTJMr2fE.jpg","View")</f>
        <v>View</v>
      </c>
    </row>
    <row r="508" spans="1:21" ht="30.6">
      <c r="A508" s="6">
        <v>43442.187534722223</v>
      </c>
      <c r="B508" s="7" t="str">
        <f>HYPERLINK("https://twitter.com/cuin1425","@cuin1425")</f>
        <v>@cuin1425</v>
      </c>
      <c r="C508" s="8" t="s">
        <v>2120</v>
      </c>
      <c r="D508" s="9" t="s">
        <v>2121</v>
      </c>
      <c r="E508" s="10" t="str">
        <f>HYPERLINK("https://twitter.com/cuin1425/status/1071245494532362242","1071245494532362242")</f>
        <v>1071245494532362242</v>
      </c>
      <c r="F508" s="11" t="s">
        <v>2122</v>
      </c>
      <c r="G508" s="12"/>
      <c r="H508" s="12"/>
      <c r="I508" s="13">
        <v>0</v>
      </c>
      <c r="J508" s="13">
        <v>0</v>
      </c>
      <c r="K508" s="14" t="str">
        <f>HYPERLINK("http://www.facebook.com/twitter","Facebook")</f>
        <v>Facebook</v>
      </c>
      <c r="L508" s="13">
        <v>580</v>
      </c>
      <c r="M508" s="13">
        <v>977</v>
      </c>
      <c r="N508" s="13">
        <v>13</v>
      </c>
      <c r="O508" s="15"/>
      <c r="P508" s="6">
        <v>40274.437928240739</v>
      </c>
      <c r="Q508" s="16" t="s">
        <v>2123</v>
      </c>
      <c r="R508" s="17" t="s">
        <v>2124</v>
      </c>
      <c r="S508" s="12"/>
      <c r="T508" s="12"/>
      <c r="U508" s="10" t="str">
        <f>HYPERLINK("https://pbs.twimg.com/profile_images/820055555305832448/qbgSwEuX.jpg","View")</f>
        <v>View</v>
      </c>
    </row>
    <row r="509" spans="1:21" ht="20.399999999999999">
      <c r="A509" s="6">
        <v>43442.170497685191</v>
      </c>
      <c r="B509" s="7" t="str">
        <f>HYPERLINK("https://twitter.com/MundoSportml","@MundoSportml")</f>
        <v>@MundoSportml</v>
      </c>
      <c r="C509" s="8" t="s">
        <v>2125</v>
      </c>
      <c r="D509" s="9" t="s">
        <v>2126</v>
      </c>
      <c r="E509" s="10" t="str">
        <f>HYPERLINK("https://twitter.com/MundoSportml/status/1071239321510928384","1071239321510928384")</f>
        <v>1071239321510928384</v>
      </c>
      <c r="F509" s="11" t="s">
        <v>2127</v>
      </c>
      <c r="G509" s="11" t="s">
        <v>2128</v>
      </c>
      <c r="H509" s="12"/>
      <c r="I509" s="13">
        <v>0</v>
      </c>
      <c r="J509" s="13">
        <v>0</v>
      </c>
      <c r="K509" s="14" t="str">
        <f>HYPERLINK("http://publicize.wp.com/","WordPress.com")</f>
        <v>WordPress.com</v>
      </c>
      <c r="L509" s="13">
        <v>382</v>
      </c>
      <c r="M509" s="13">
        <v>1735</v>
      </c>
      <c r="N509" s="13">
        <v>2</v>
      </c>
      <c r="O509" s="15"/>
      <c r="P509" s="6">
        <v>43357.053229166668</v>
      </c>
      <c r="Q509" s="16" t="s">
        <v>767</v>
      </c>
      <c r="R509" s="19"/>
      <c r="S509" s="11" t="s">
        <v>2129</v>
      </c>
      <c r="T509" s="12"/>
      <c r="U509" s="10" t="str">
        <f>HYPERLINK("https://pbs.twimg.com/profile_images/1071204301966598144/mz76FqGo.jpg","View")</f>
        <v>View</v>
      </c>
    </row>
    <row r="510" spans="1:21" ht="20.399999999999999">
      <c r="A510" s="6">
        <v>43442.167719907404</v>
      </c>
      <c r="B510" s="7" t="str">
        <f>HYPERLINK("https://twitter.com/sanchez_rosy","@sanchez_rosy")</f>
        <v>@sanchez_rosy</v>
      </c>
      <c r="C510" s="8" t="s">
        <v>2130</v>
      </c>
      <c r="D510" s="9" t="s">
        <v>2131</v>
      </c>
      <c r="E510" s="10" t="str">
        <f>HYPERLINK("https://twitter.com/sanchez_rosy/status/1071238315410632704","1071238315410632704")</f>
        <v>1071238315410632704</v>
      </c>
      <c r="F510" s="11" t="s">
        <v>2132</v>
      </c>
      <c r="G510" s="12"/>
      <c r="H510" s="12"/>
      <c r="I510" s="13">
        <v>0</v>
      </c>
      <c r="J510" s="13">
        <v>0</v>
      </c>
      <c r="K510" s="14" t="str">
        <f>HYPERLINK("https://www.google.com/","Google")</f>
        <v>Google</v>
      </c>
      <c r="L510" s="13">
        <v>1126</v>
      </c>
      <c r="M510" s="13">
        <v>916</v>
      </c>
      <c r="N510" s="13">
        <v>13</v>
      </c>
      <c r="O510" s="15"/>
      <c r="P510" s="6">
        <v>40662.123252314814</v>
      </c>
      <c r="Q510" s="16" t="s">
        <v>2133</v>
      </c>
      <c r="R510" s="19"/>
      <c r="S510" s="12"/>
      <c r="T510" s="12"/>
      <c r="U510" s="10" t="str">
        <f>HYPERLINK("https://pbs.twimg.com/profile_images/830977136253083648/98Us3hMm.jpg","View")</f>
        <v>View</v>
      </c>
    </row>
    <row r="511" spans="1:21" ht="40.799999999999997">
      <c r="A511" s="6">
        <v>43442.167361111111</v>
      </c>
      <c r="B511" s="7" t="str">
        <f>HYPERLINK("https://twitter.com/InfobaeDeportes","@InfobaeDeportes")</f>
        <v>@InfobaeDeportes</v>
      </c>
      <c r="C511" s="8" t="s">
        <v>2134</v>
      </c>
      <c r="D511" s="9" t="s">
        <v>1308</v>
      </c>
      <c r="E511" s="10" t="str">
        <f>HYPERLINK("https://twitter.com/InfobaeDeportes/status/1071238183843618816","1071238183843618816")</f>
        <v>1071238183843618816</v>
      </c>
      <c r="F511" s="11" t="s">
        <v>2135</v>
      </c>
      <c r="G511" s="11" t="s">
        <v>2137</v>
      </c>
      <c r="H511" s="12"/>
      <c r="I511" s="13">
        <v>0</v>
      </c>
      <c r="J511" s="13">
        <v>2</v>
      </c>
      <c r="K511" s="14" t="str">
        <f>HYPERLINK("https://about.twitter.com/products/tweetdeck","TweetDeck")</f>
        <v>TweetDeck</v>
      </c>
      <c r="L511" s="13">
        <v>100253</v>
      </c>
      <c r="M511" s="13">
        <v>2046</v>
      </c>
      <c r="N511" s="13">
        <v>899</v>
      </c>
      <c r="O511" s="18" t="s">
        <v>41</v>
      </c>
      <c r="P511" s="6">
        <v>40411.84306712963</v>
      </c>
      <c r="Q511" s="16" t="s">
        <v>1515</v>
      </c>
      <c r="R511" s="17" t="s">
        <v>2138</v>
      </c>
      <c r="S511" s="11" t="s">
        <v>2139</v>
      </c>
      <c r="T511" s="12"/>
      <c r="U511" s="10" t="str">
        <f>HYPERLINK("https://pbs.twimg.com/profile_images/879377154659819521/yPohztCq.jpg","View")</f>
        <v>View</v>
      </c>
    </row>
    <row r="512" spans="1:21" ht="30.6">
      <c r="A512" s="6">
        <v>43442.165277777778</v>
      </c>
      <c r="B512" s="7" t="str">
        <f>HYPERLINK("https://twitter.com/idelrioh","@idelrioh")</f>
        <v>@idelrioh</v>
      </c>
      <c r="C512" s="8" t="s">
        <v>2140</v>
      </c>
      <c r="D512" s="9" t="s">
        <v>2141</v>
      </c>
      <c r="E512" s="10" t="str">
        <f>HYPERLINK("https://twitter.com/idelrioh/status/1071237429447790593","1071237429447790593")</f>
        <v>1071237429447790593</v>
      </c>
      <c r="F512" s="11" t="s">
        <v>1573</v>
      </c>
      <c r="G512" s="12"/>
      <c r="H512" s="12"/>
      <c r="I512" s="13">
        <v>0</v>
      </c>
      <c r="J512" s="13">
        <v>0</v>
      </c>
      <c r="K512" s="14" t="str">
        <f>HYPERLINK("http://twitter.com/#!/download/ipad","Twitter for iPad")</f>
        <v>Twitter for iPad</v>
      </c>
      <c r="L512" s="13">
        <v>359</v>
      </c>
      <c r="M512" s="13">
        <v>280</v>
      </c>
      <c r="N512" s="13">
        <v>1</v>
      </c>
      <c r="O512" s="15"/>
      <c r="P512" s="6">
        <v>40606.632430555554</v>
      </c>
      <c r="Q512" s="16" t="s">
        <v>200</v>
      </c>
      <c r="R512" s="17" t="s">
        <v>2142</v>
      </c>
      <c r="S512" s="12"/>
      <c r="T512" s="12"/>
      <c r="U512" s="10" t="str">
        <f>HYPERLINK("https://pbs.twimg.com/profile_images/965042519124971521/BOoITZEi.jpg","View")</f>
        <v>View</v>
      </c>
    </row>
    <row r="513" spans="1:21" ht="40.799999999999997">
      <c r="A513" s="6">
        <v>43442.16369212963</v>
      </c>
      <c r="B513" s="7" t="str">
        <f>HYPERLINK("https://twitter.com/prcttybadboy","@prcttybadboy")</f>
        <v>@prcttybadboy</v>
      </c>
      <c r="C513" s="8" t="s">
        <v>2143</v>
      </c>
      <c r="D513" s="9" t="s">
        <v>2144</v>
      </c>
      <c r="E513" s="10" t="str">
        <f>HYPERLINK("https://twitter.com/prcttybadboy/status/1071236856669442049","1071236856669442049")</f>
        <v>1071236856669442049</v>
      </c>
      <c r="F513" s="11" t="s">
        <v>2145</v>
      </c>
      <c r="G513" s="12"/>
      <c r="H513" s="12"/>
      <c r="I513" s="13">
        <v>0</v>
      </c>
      <c r="J513" s="13">
        <v>1</v>
      </c>
      <c r="K513" s="14" t="str">
        <f>HYPERLINK("http://twitter.com/download/android","Twitter for Android")</f>
        <v>Twitter for Android</v>
      </c>
      <c r="L513" s="13">
        <v>263</v>
      </c>
      <c r="M513" s="13">
        <v>137</v>
      </c>
      <c r="N513" s="13">
        <v>2</v>
      </c>
      <c r="O513" s="15"/>
      <c r="P513" s="6">
        <v>43286.709594907406</v>
      </c>
      <c r="Q513" s="16" t="s">
        <v>2146</v>
      </c>
      <c r="R513" s="17" t="s">
        <v>2147</v>
      </c>
      <c r="S513" s="11" t="s">
        <v>2148</v>
      </c>
      <c r="T513" s="12"/>
      <c r="U513" s="10" t="str">
        <f>HYPERLINK("https://pbs.twimg.com/profile_images/1071198891490586624/ZLh75JHs.jpg","View")</f>
        <v>View</v>
      </c>
    </row>
    <row r="514" spans="1:21" ht="30.6">
      <c r="A514" s="6">
        <v>43442.160949074074</v>
      </c>
      <c r="B514" s="7" t="str">
        <f>HYPERLINK("https://twitter.com/AguasNeutrales","@AguasNeutrales")</f>
        <v>@AguasNeutrales</v>
      </c>
      <c r="C514" s="8" t="s">
        <v>2149</v>
      </c>
      <c r="D514" s="9" t="s">
        <v>2150</v>
      </c>
      <c r="E514" s="10" t="str">
        <f>HYPERLINK("https://twitter.com/AguasNeutrales/status/1071235863009521664","1071235863009521664")</f>
        <v>1071235863009521664</v>
      </c>
      <c r="F514" s="11" t="s">
        <v>2151</v>
      </c>
      <c r="G514" s="11" t="s">
        <v>2152</v>
      </c>
      <c r="H514" s="12"/>
      <c r="I514" s="13">
        <v>0</v>
      </c>
      <c r="J514" s="13">
        <v>0</v>
      </c>
      <c r="K514" s="14" t="str">
        <f>HYPERLINK("http://twitter.com","Twitter Web Client")</f>
        <v>Twitter Web Client</v>
      </c>
      <c r="L514" s="13">
        <v>928</v>
      </c>
      <c r="M514" s="13">
        <v>1614</v>
      </c>
      <c r="N514" s="13">
        <v>7</v>
      </c>
      <c r="O514" s="15"/>
      <c r="P514" s="6">
        <v>41802.302615740744</v>
      </c>
      <c r="Q514" s="12"/>
      <c r="R514" s="17" t="s">
        <v>2153</v>
      </c>
      <c r="S514" s="12"/>
      <c r="T514" s="12"/>
      <c r="U514" s="10" t="str">
        <f>HYPERLINK("https://pbs.twimg.com/profile_images/1008462024282689536/Q3Z1dTgf.jpg","View")</f>
        <v>View</v>
      </c>
    </row>
    <row r="515" spans="1:21" ht="40.799999999999997">
      <c r="A515" s="6">
        <v>43442.159074074079</v>
      </c>
      <c r="B515" s="7" t="str">
        <f>HYPERLINK("https://twitter.com/dickie825","@dickie825")</f>
        <v>@dickie825</v>
      </c>
      <c r="C515" s="8" t="s">
        <v>2154</v>
      </c>
      <c r="D515" s="9" t="s">
        <v>2155</v>
      </c>
      <c r="E515" s="10" t="str">
        <f>HYPERLINK("https://twitter.com/dickie825/status/1071235182819074048","1071235182819074048")</f>
        <v>1071235182819074048</v>
      </c>
      <c r="F515" s="11" t="s">
        <v>2156</v>
      </c>
      <c r="G515" s="11" t="s">
        <v>2157</v>
      </c>
      <c r="H515" s="12"/>
      <c r="I515" s="13">
        <v>0</v>
      </c>
      <c r="J515" s="13">
        <v>0</v>
      </c>
      <c r="K515" s="14" t="str">
        <f>HYPERLINK("https://dlvrit.com/","dlvr.it")</f>
        <v>dlvr.it</v>
      </c>
      <c r="L515" s="13">
        <v>3495</v>
      </c>
      <c r="M515" s="13">
        <v>2408</v>
      </c>
      <c r="N515" s="13">
        <v>23</v>
      </c>
      <c r="O515" s="15"/>
      <c r="P515" s="6">
        <v>41702.926354166666</v>
      </c>
      <c r="Q515" s="16" t="s">
        <v>2158</v>
      </c>
      <c r="R515" s="17" t="s">
        <v>2159</v>
      </c>
      <c r="S515" s="11" t="s">
        <v>2160</v>
      </c>
      <c r="T515" s="12"/>
      <c r="U515" s="10" t="str">
        <f>HYPERLINK("https://pbs.twimg.com/profile_images/462982799574581250/pOhVVnh8.png","View")</f>
        <v>View</v>
      </c>
    </row>
    <row r="516" spans="1:21" ht="30.6">
      <c r="A516" s="6">
        <v>43442.158784722225</v>
      </c>
      <c r="B516" s="7" t="str">
        <f>HYPERLINK("https://twitter.com/periodicovzlano","@periodicovzlano")</f>
        <v>@periodicovzlano</v>
      </c>
      <c r="C516" s="8" t="s">
        <v>869</v>
      </c>
      <c r="D516" s="9" t="s">
        <v>714</v>
      </c>
      <c r="E516" s="10" t="str">
        <f>HYPERLINK("https://twitter.com/periodicovzlano/status/1071235076548149248","1071235076548149248")</f>
        <v>1071235076548149248</v>
      </c>
      <c r="F516" s="11" t="s">
        <v>737</v>
      </c>
      <c r="G516" s="11" t="s">
        <v>2161</v>
      </c>
      <c r="H516" s="12"/>
      <c r="I516" s="13">
        <v>0</v>
      </c>
      <c r="J516" s="13">
        <v>0</v>
      </c>
      <c r="K516" s="14" t="str">
        <f>HYPERLINK("http://epmundo.com","Tuiteo TOP EP (1)")</f>
        <v>Tuiteo TOP EP (1)</v>
      </c>
      <c r="L516" s="13">
        <v>479694</v>
      </c>
      <c r="M516" s="13">
        <v>358804</v>
      </c>
      <c r="N516" s="13">
        <v>1295</v>
      </c>
      <c r="O516" s="15"/>
      <c r="P516" s="6">
        <v>40663.3512962963</v>
      </c>
      <c r="Q516" s="16" t="s">
        <v>871</v>
      </c>
      <c r="R516" s="17" t="s">
        <v>872</v>
      </c>
      <c r="S516" s="11" t="s">
        <v>873</v>
      </c>
      <c r="T516" s="12"/>
      <c r="U516" s="10" t="str">
        <f>HYPERLINK("https://pbs.twimg.com/profile_images/958328579250638849/MCz7Q8U6.jpg","View")</f>
        <v>View</v>
      </c>
    </row>
    <row r="517" spans="1:21" ht="30.6">
      <c r="A517" s="6">
        <v>43442.15347222222</v>
      </c>
      <c r="B517" s="7" t="str">
        <f>HYPERLINK("https://twitter.com/RadioHuancavilk","@RadioHuancavilk")</f>
        <v>@RadioHuancavilk</v>
      </c>
      <c r="C517" s="8" t="s">
        <v>2091</v>
      </c>
      <c r="D517" s="9" t="s">
        <v>2092</v>
      </c>
      <c r="E517" s="10" t="str">
        <f>HYPERLINK("https://twitter.com/RadioHuancavilk/status/1071233150490042368","1071233150490042368")</f>
        <v>1071233150490042368</v>
      </c>
      <c r="F517" s="11" t="s">
        <v>2093</v>
      </c>
      <c r="G517" s="11" t="s">
        <v>2162</v>
      </c>
      <c r="H517" s="12"/>
      <c r="I517" s="13">
        <v>0</v>
      </c>
      <c r="J517" s="13">
        <v>0</v>
      </c>
      <c r="K517" s="14" t="str">
        <f>HYPERLINK("https://about.twitter.com/products/tweetdeck","TweetDeck")</f>
        <v>TweetDeck</v>
      </c>
      <c r="L517" s="13">
        <v>24544</v>
      </c>
      <c r="M517" s="13">
        <v>132</v>
      </c>
      <c r="N517" s="13">
        <v>195</v>
      </c>
      <c r="O517" s="15"/>
      <c r="P517" s="6">
        <v>40735.782557870371</v>
      </c>
      <c r="Q517" s="16" t="s">
        <v>2095</v>
      </c>
      <c r="R517" s="17" t="s">
        <v>2096</v>
      </c>
      <c r="S517" s="11" t="s">
        <v>2097</v>
      </c>
      <c r="T517" s="12"/>
      <c r="U517" s="10" t="str">
        <f>HYPERLINK("https://pbs.twimg.com/profile_images/1018978289006891008/08-mGGQV.jpg","View")</f>
        <v>View</v>
      </c>
    </row>
    <row r="518" spans="1:21" ht="30.6">
      <c r="A518" s="6">
        <v>43442.14916666667</v>
      </c>
      <c r="B518" s="7" t="str">
        <f>HYPERLINK("https://twitter.com/JoseManuel_Ros","@JoseManuel_Ros")</f>
        <v>@JoseManuel_Ros</v>
      </c>
      <c r="C518" s="8" t="s">
        <v>2163</v>
      </c>
      <c r="D518" s="9" t="s">
        <v>2164</v>
      </c>
      <c r="E518" s="10" t="str">
        <f>HYPERLINK("https://twitter.com/JoseManuel_Ros/status/1071231591073099776","1071231591073099776")</f>
        <v>1071231591073099776</v>
      </c>
      <c r="F518" s="11" t="s">
        <v>2165</v>
      </c>
      <c r="G518" s="12"/>
      <c r="H518" s="12"/>
      <c r="I518" s="13">
        <v>0</v>
      </c>
      <c r="J518" s="13">
        <v>0</v>
      </c>
      <c r="K518" s="14" t="str">
        <f>HYPERLINK("http://twitter.com","Twitter Web Client")</f>
        <v>Twitter Web Client</v>
      </c>
      <c r="L518" s="13">
        <v>408</v>
      </c>
      <c r="M518" s="13">
        <v>401</v>
      </c>
      <c r="N518" s="13">
        <v>3</v>
      </c>
      <c r="O518" s="15"/>
      <c r="P518" s="6">
        <v>40973.591296296298</v>
      </c>
      <c r="Q518" s="16" t="s">
        <v>87</v>
      </c>
      <c r="R518" s="19"/>
      <c r="S518" s="12"/>
      <c r="T518" s="12"/>
      <c r="U518" s="10" t="str">
        <f>HYPERLINK("https://pbs.twimg.com/profile_images/1068271544827355138/Slj2xvGb.jpg","View")</f>
        <v>View</v>
      </c>
    </row>
    <row r="519" spans="1:21" ht="30.6">
      <c r="A519" s="6">
        <v>43442.147858796292</v>
      </c>
      <c r="B519" s="7" t="str">
        <f>HYPERLINK("https://twitter.com/periodicovzlano","@periodicovzlano")</f>
        <v>@periodicovzlano</v>
      </c>
      <c r="C519" s="8" t="s">
        <v>869</v>
      </c>
      <c r="D519" s="9" t="s">
        <v>714</v>
      </c>
      <c r="E519" s="10" t="str">
        <f>HYPERLINK("https://twitter.com/periodicovzlano/status/1071231115170590722","1071231115170590722")</f>
        <v>1071231115170590722</v>
      </c>
      <c r="F519" s="11" t="s">
        <v>737</v>
      </c>
      <c r="G519" s="11" t="s">
        <v>2166</v>
      </c>
      <c r="H519" s="12"/>
      <c r="I519" s="13">
        <v>0</v>
      </c>
      <c r="J519" s="13">
        <v>0</v>
      </c>
      <c r="K519" s="14" t="str">
        <f>HYPERLINK("http://epmundo.com","Tuiteo TOP EP (1)")</f>
        <v>Tuiteo TOP EP (1)</v>
      </c>
      <c r="L519" s="13">
        <v>479694</v>
      </c>
      <c r="M519" s="13">
        <v>358804</v>
      </c>
      <c r="N519" s="13">
        <v>1295</v>
      </c>
      <c r="O519" s="15"/>
      <c r="P519" s="6">
        <v>40663.3512962963</v>
      </c>
      <c r="Q519" s="16" t="s">
        <v>871</v>
      </c>
      <c r="R519" s="17" t="s">
        <v>872</v>
      </c>
      <c r="S519" s="11" t="s">
        <v>873</v>
      </c>
      <c r="T519" s="12"/>
      <c r="U519" s="10" t="str">
        <f>HYPERLINK("https://pbs.twimg.com/profile_images/958328579250638849/MCz7Q8U6.jpg","View")</f>
        <v>View</v>
      </c>
    </row>
    <row r="520" spans="1:21" ht="30.6">
      <c r="A520" s="6">
        <v>43442.138807870375</v>
      </c>
      <c r="B520" s="7" t="str">
        <f>HYPERLINK("https://twitter.com/TNFamosos","@TNFamosos")</f>
        <v>@TNFamosos</v>
      </c>
      <c r="C520" s="8" t="s">
        <v>2167</v>
      </c>
      <c r="D520" s="9" t="s">
        <v>2168</v>
      </c>
      <c r="E520" s="10" t="str">
        <f>HYPERLINK("https://twitter.com/TNFamosos/status/1071227835325603841","1071227835325603841")</f>
        <v>1071227835325603841</v>
      </c>
      <c r="F520" s="11" t="s">
        <v>2169</v>
      </c>
      <c r="G520" s="12"/>
      <c r="H520" s="12"/>
      <c r="I520" s="13">
        <v>18</v>
      </c>
      <c r="J520" s="13">
        <v>79</v>
      </c>
      <c r="K520" s="14" t="str">
        <f t="shared" ref="K520:K521" si="82">HYPERLINK("http://twitter.com","Twitter Web Client")</f>
        <v>Twitter Web Client</v>
      </c>
      <c r="L520" s="13">
        <v>180108</v>
      </c>
      <c r="M520" s="13">
        <v>1886</v>
      </c>
      <c r="N520" s="13">
        <v>285</v>
      </c>
      <c r="O520" s="18" t="s">
        <v>41</v>
      </c>
      <c r="P520" s="6">
        <v>40865.690185185187</v>
      </c>
      <c r="Q520" s="12"/>
      <c r="R520" s="17" t="s">
        <v>2170</v>
      </c>
      <c r="S520" s="11" t="s">
        <v>2171</v>
      </c>
      <c r="T520" s="12"/>
      <c r="U520" s="10" t="str">
        <f>HYPERLINK("https://pbs.twimg.com/profile_images/801045148184494081/lBeVchc4.jpg","View")</f>
        <v>View</v>
      </c>
    </row>
    <row r="521" spans="1:21" ht="30.6">
      <c r="A521" s="6">
        <v>43442.131435185191</v>
      </c>
      <c r="B521" s="7" t="str">
        <f>HYPERLINK("https://twitter.com/bdebuena","@bdebuena")</f>
        <v>@bdebuena</v>
      </c>
      <c r="C521" s="8" t="s">
        <v>2172</v>
      </c>
      <c r="D521" s="9" t="s">
        <v>2173</v>
      </c>
      <c r="E521" s="10" t="str">
        <f>HYPERLINK("https://twitter.com/bdebuena/status/1071225166443761671","1071225166443761671")</f>
        <v>1071225166443761671</v>
      </c>
      <c r="F521" s="12"/>
      <c r="G521" s="12"/>
      <c r="H521" s="12"/>
      <c r="I521" s="13">
        <v>0</v>
      </c>
      <c r="J521" s="13">
        <v>0</v>
      </c>
      <c r="K521" s="14" t="str">
        <f t="shared" si="82"/>
        <v>Twitter Web Client</v>
      </c>
      <c r="L521" s="13">
        <v>249</v>
      </c>
      <c r="M521" s="13">
        <v>327</v>
      </c>
      <c r="N521" s="13">
        <v>2</v>
      </c>
      <c r="O521" s="15"/>
      <c r="P521" s="6">
        <v>41915.716689814813</v>
      </c>
      <c r="Q521" s="12"/>
      <c r="R521" s="17" t="s">
        <v>2174</v>
      </c>
      <c r="S521" s="12"/>
      <c r="T521" s="12"/>
      <c r="U521" s="10" t="str">
        <f>HYPERLINK("https://pbs.twimg.com/profile_images/794241468554682369/SI1gWinY.jpg","View")</f>
        <v>View</v>
      </c>
    </row>
    <row r="522" spans="1:21" ht="51">
      <c r="A522" s="6">
        <v>43442.124907407408</v>
      </c>
      <c r="B522" s="7" t="str">
        <f>HYPERLINK("https://twitter.com/Piolinna","@Piolinna")</f>
        <v>@Piolinna</v>
      </c>
      <c r="C522" s="8" t="s">
        <v>2175</v>
      </c>
      <c r="D522" s="9" t="s">
        <v>2176</v>
      </c>
      <c r="E522" s="10" t="str">
        <f>HYPERLINK("https://twitter.com/Piolinna/status/1071222800202035200","1071222800202035200")</f>
        <v>1071222800202035200</v>
      </c>
      <c r="F522" s="11" t="s">
        <v>2177</v>
      </c>
      <c r="G522" s="12"/>
      <c r="H522" s="12"/>
      <c r="I522" s="13">
        <v>0</v>
      </c>
      <c r="J522" s="13">
        <v>0</v>
      </c>
      <c r="K522" s="14" t="str">
        <f>HYPERLINK("http://twitter.com/#!/download/ipad","Twitter for iPad")</f>
        <v>Twitter for iPad</v>
      </c>
      <c r="L522" s="13">
        <v>7791</v>
      </c>
      <c r="M522" s="13">
        <v>4085</v>
      </c>
      <c r="N522" s="13">
        <v>267</v>
      </c>
      <c r="O522" s="15"/>
      <c r="P522" s="6">
        <v>39907.891898148147</v>
      </c>
      <c r="Q522" s="12"/>
      <c r="R522" s="17" t="s">
        <v>2179</v>
      </c>
      <c r="S522" s="12"/>
      <c r="T522" s="12"/>
      <c r="U522" s="10" t="str">
        <f>HYPERLINK("https://pbs.twimg.com/profile_images/1011313531915067392/ylOpf_Kr.jpg","View")</f>
        <v>View</v>
      </c>
    </row>
    <row r="523" spans="1:21" ht="30.6">
      <c r="A523" s="6">
        <v>43442.121307870373</v>
      </c>
      <c r="B523" s="7" t="str">
        <f>HYPERLINK("https://twitter.com/carlosaalonso7","@carlosaalonso7")</f>
        <v>@carlosaalonso7</v>
      </c>
      <c r="C523" s="8" t="s">
        <v>2180</v>
      </c>
      <c r="D523" s="9" t="s">
        <v>2181</v>
      </c>
      <c r="E523" s="10" t="str">
        <f>HYPERLINK("https://twitter.com/carlosaalonso7/status/1071221496763334657","1071221496763334657")</f>
        <v>1071221496763334657</v>
      </c>
      <c r="F523" s="11" t="s">
        <v>2184</v>
      </c>
      <c r="G523" s="12"/>
      <c r="H523" s="12"/>
      <c r="I523" s="13">
        <v>0</v>
      </c>
      <c r="J523" s="13">
        <v>0</v>
      </c>
      <c r="K523" s="14" t="str">
        <f>HYPERLINK("http://www.facebook.com/twitter","Facebook")</f>
        <v>Facebook</v>
      </c>
      <c r="L523" s="13">
        <v>266</v>
      </c>
      <c r="M523" s="13">
        <v>645</v>
      </c>
      <c r="N523" s="13">
        <v>0</v>
      </c>
      <c r="O523" s="15"/>
      <c r="P523" s="6">
        <v>41507.070185185185</v>
      </c>
      <c r="Q523" s="12"/>
      <c r="R523" s="19"/>
      <c r="S523" s="12"/>
      <c r="T523" s="12"/>
      <c r="U523" s="10" t="str">
        <f>HYPERLINK("https://pbs.twimg.com/profile_images/378800000639733495/56455d04f9290dbcda8cef40d65effe8.png","View")</f>
        <v>View</v>
      </c>
    </row>
    <row r="524" spans="1:21" ht="40.799999999999997">
      <c r="A524" s="6">
        <v>43442.121215277773</v>
      </c>
      <c r="B524" s="7" t="str">
        <f>HYPERLINK("https://twitter.com/mikihoyos","@mikihoyos")</f>
        <v>@mikihoyos</v>
      </c>
      <c r="C524" s="8" t="s">
        <v>2185</v>
      </c>
      <c r="D524" s="9" t="s">
        <v>2186</v>
      </c>
      <c r="E524" s="10" t="str">
        <f>HYPERLINK("https://twitter.com/mikihoyos/status/1071221463531839488","1071221463531839488")</f>
        <v>1071221463531839488</v>
      </c>
      <c r="F524" s="11" t="s">
        <v>1185</v>
      </c>
      <c r="G524" s="12"/>
      <c r="H524" s="12"/>
      <c r="I524" s="13">
        <v>12</v>
      </c>
      <c r="J524" s="13">
        <v>13</v>
      </c>
      <c r="K524" s="14" t="str">
        <f t="shared" ref="K524:K526" si="83">HYPERLINK("http://twitter.com/download/android","Twitter for Android")</f>
        <v>Twitter for Android</v>
      </c>
      <c r="L524" s="13">
        <v>9403</v>
      </c>
      <c r="M524" s="13">
        <v>7649</v>
      </c>
      <c r="N524" s="13">
        <v>163</v>
      </c>
      <c r="O524" s="15"/>
      <c r="P524" s="6">
        <v>40661.414722222224</v>
      </c>
      <c r="Q524" s="16" t="s">
        <v>1116</v>
      </c>
      <c r="R524" s="17" t="s">
        <v>2187</v>
      </c>
      <c r="S524" s="12"/>
      <c r="T524" s="12"/>
      <c r="U524" s="10" t="str">
        <f>HYPERLINK("https://pbs.twimg.com/profile_images/1069548523098648576/ydkGrxO_.jpg","View")</f>
        <v>View</v>
      </c>
    </row>
    <row r="525" spans="1:21" ht="71.400000000000006">
      <c r="A525" s="6">
        <v>43442.11418981482</v>
      </c>
      <c r="B525" s="7" t="str">
        <f t="shared" ref="B525:B526" si="84">HYPERLINK("https://twitter.com/PepitaMenaMart1","@PepitaMenaMart1")</f>
        <v>@PepitaMenaMart1</v>
      </c>
      <c r="C525" s="8" t="s">
        <v>2188</v>
      </c>
      <c r="D525" s="9" t="s">
        <v>2189</v>
      </c>
      <c r="E525" s="10" t="str">
        <f>HYPERLINK("https://twitter.com/PepitaMenaMart1/status/1071218914770739200","1071218914770739200")</f>
        <v>1071218914770739200</v>
      </c>
      <c r="F525" s="16" t="s">
        <v>1681</v>
      </c>
      <c r="G525" s="12"/>
      <c r="H525" s="12"/>
      <c r="I525" s="13">
        <v>0</v>
      </c>
      <c r="J525" s="13">
        <v>0</v>
      </c>
      <c r="K525" s="14" t="str">
        <f t="shared" si="83"/>
        <v>Twitter for Android</v>
      </c>
      <c r="L525" s="13">
        <v>437</v>
      </c>
      <c r="M525" s="13">
        <v>350</v>
      </c>
      <c r="N525" s="13">
        <v>1</v>
      </c>
      <c r="O525" s="15"/>
      <c r="P525" s="6">
        <v>43124.888506944444</v>
      </c>
      <c r="Q525" s="16" t="s">
        <v>2190</v>
      </c>
      <c r="R525" s="17" t="s">
        <v>2191</v>
      </c>
      <c r="S525" s="12"/>
      <c r="T525" s="12"/>
      <c r="U525" s="10" t="str">
        <f t="shared" ref="U525:U526" si="85">HYPERLINK("https://pbs.twimg.com/profile_images/1053410905311064064/xChXdA8v.jpg","View")</f>
        <v>View</v>
      </c>
    </row>
    <row r="526" spans="1:21" ht="81.599999999999994">
      <c r="A526" s="6">
        <v>43442.112789351857</v>
      </c>
      <c r="B526" s="7" t="str">
        <f t="shared" si="84"/>
        <v>@PepitaMenaMart1</v>
      </c>
      <c r="C526" s="8" t="s">
        <v>2188</v>
      </c>
      <c r="D526" s="9" t="s">
        <v>2192</v>
      </c>
      <c r="E526" s="10" t="str">
        <f>HYPERLINK("https://twitter.com/PepitaMenaMart1/status/1071218407310282752","1071218407310282752")</f>
        <v>1071218407310282752</v>
      </c>
      <c r="F526" s="11" t="s">
        <v>1131</v>
      </c>
      <c r="G526" s="11" t="s">
        <v>1132</v>
      </c>
      <c r="H526" s="12"/>
      <c r="I526" s="13">
        <v>0</v>
      </c>
      <c r="J526" s="13">
        <v>0</v>
      </c>
      <c r="K526" s="14" t="str">
        <f t="shared" si="83"/>
        <v>Twitter for Android</v>
      </c>
      <c r="L526" s="13">
        <v>437</v>
      </c>
      <c r="M526" s="13">
        <v>350</v>
      </c>
      <c r="N526" s="13">
        <v>1</v>
      </c>
      <c r="O526" s="15"/>
      <c r="P526" s="6">
        <v>43124.888506944444</v>
      </c>
      <c r="Q526" s="16" t="s">
        <v>2190</v>
      </c>
      <c r="R526" s="17" t="s">
        <v>2191</v>
      </c>
      <c r="S526" s="12"/>
      <c r="T526" s="12"/>
      <c r="U526" s="10" t="str">
        <f t="shared" si="85"/>
        <v>View</v>
      </c>
    </row>
    <row r="527" spans="1:21" ht="40.799999999999997">
      <c r="A527" s="6">
        <v>43442.110486111109</v>
      </c>
      <c r="B527" s="7" t="str">
        <f>HYPERLINK("https://twitter.com/GlezFeder","@GlezFeder")</f>
        <v>@GlezFeder</v>
      </c>
      <c r="C527" s="8" t="s">
        <v>799</v>
      </c>
      <c r="D527" s="9" t="s">
        <v>1842</v>
      </c>
      <c r="E527" s="10" t="str">
        <f>HYPERLINK("https://twitter.com/GlezFeder/status/1071217572312432640","1071217572312432640")</f>
        <v>1071217572312432640</v>
      </c>
      <c r="F527" s="11" t="s">
        <v>2193</v>
      </c>
      <c r="G527" s="12"/>
      <c r="H527" s="12"/>
      <c r="I527" s="13">
        <v>4</v>
      </c>
      <c r="J527" s="13">
        <v>1</v>
      </c>
      <c r="K527" s="14" t="str">
        <f t="shared" ref="K527:K528" si="86">HYPERLINK("http://twitter.com","Twitter Web Client")</f>
        <v>Twitter Web Client</v>
      </c>
      <c r="L527" s="13">
        <v>237</v>
      </c>
      <c r="M527" s="13">
        <v>267</v>
      </c>
      <c r="N527" s="13">
        <v>2</v>
      </c>
      <c r="O527" s="15"/>
      <c r="P527" s="6">
        <v>43247.825613425928</v>
      </c>
      <c r="Q527" s="16" t="s">
        <v>802</v>
      </c>
      <c r="R527" s="17" t="s">
        <v>803</v>
      </c>
      <c r="S527" s="12"/>
      <c r="T527" s="12"/>
      <c r="U527" s="10" t="str">
        <f>HYPERLINK("https://pbs.twimg.com/profile_images/1060247976700973056/3K9K-vjB.jpg","View")</f>
        <v>View</v>
      </c>
    </row>
    <row r="528" spans="1:21" ht="13.2">
      <c r="A528" s="6">
        <v>43442.098773148144</v>
      </c>
      <c r="B528" s="7" t="str">
        <f>HYPERLINK("https://twitter.com/afrvet","@afrvet")</f>
        <v>@afrvet</v>
      </c>
      <c r="C528" s="8" t="s">
        <v>2194</v>
      </c>
      <c r="D528" s="9" t="s">
        <v>2195</v>
      </c>
      <c r="E528" s="10" t="str">
        <f>HYPERLINK("https://twitter.com/afrvet/status/1071213329778130949","1071213329778130949")</f>
        <v>1071213329778130949</v>
      </c>
      <c r="F528" s="11" t="s">
        <v>2196</v>
      </c>
      <c r="G528" s="12"/>
      <c r="H528" s="12"/>
      <c r="I528" s="13">
        <v>0</v>
      </c>
      <c r="J528" s="13">
        <v>1</v>
      </c>
      <c r="K528" s="14" t="str">
        <f t="shared" si="86"/>
        <v>Twitter Web Client</v>
      </c>
      <c r="L528" s="13">
        <v>2013</v>
      </c>
      <c r="M528" s="13">
        <v>1525</v>
      </c>
      <c r="N528" s="13">
        <v>26</v>
      </c>
      <c r="O528" s="15"/>
      <c r="P528" s="6">
        <v>40000.540173611109</v>
      </c>
      <c r="Q528" s="16" t="s">
        <v>2198</v>
      </c>
      <c r="R528" s="19"/>
      <c r="S528" s="12"/>
      <c r="T528" s="12"/>
      <c r="U528" s="10" t="str">
        <f>HYPERLINK("https://pbs.twimg.com/profile_images/929461322105925633/P_CtDrkl.jpg","View")</f>
        <v>View</v>
      </c>
    </row>
    <row r="529" spans="1:21" ht="20.399999999999999">
      <c r="A529" s="6">
        <v>43442.089155092588</v>
      </c>
      <c r="B529" s="7" t="str">
        <f>HYPERLINK("https://twitter.com/EP_Mundo","@EP_Mundo")</f>
        <v>@EP_Mundo</v>
      </c>
      <c r="C529" s="8" t="s">
        <v>735</v>
      </c>
      <c r="D529" s="9" t="s">
        <v>736</v>
      </c>
      <c r="E529" s="10" t="str">
        <f>HYPERLINK("https://twitter.com/EP_Mundo/status/1071209844277956613","1071209844277956613")</f>
        <v>1071209844277956613</v>
      </c>
      <c r="F529" s="11" t="s">
        <v>737</v>
      </c>
      <c r="G529" s="11" t="s">
        <v>2201</v>
      </c>
      <c r="H529" s="12"/>
      <c r="I529" s="13">
        <v>0</v>
      </c>
      <c r="J529" s="13">
        <v>0</v>
      </c>
      <c r="K529" s="14" t="str">
        <f>HYPERLINK("http://epmundo.com","Tuiteo TOP EP (2)")</f>
        <v>Tuiteo TOP EP (2)</v>
      </c>
      <c r="L529" s="13">
        <v>510220</v>
      </c>
      <c r="M529" s="13">
        <v>301867</v>
      </c>
      <c r="N529" s="13">
        <v>1363</v>
      </c>
      <c r="O529" s="15"/>
      <c r="P529" s="6">
        <v>40203.223078703704</v>
      </c>
      <c r="Q529" s="12"/>
      <c r="R529" s="17" t="s">
        <v>739</v>
      </c>
      <c r="S529" s="11" t="s">
        <v>740</v>
      </c>
      <c r="T529" s="12"/>
      <c r="U529" s="10" t="str">
        <f>HYPERLINK("https://pbs.twimg.com/profile_images/958329583778099200/87-xiuzB.jpg","View")</f>
        <v>View</v>
      </c>
    </row>
    <row r="530" spans="1:21" ht="40.799999999999997">
      <c r="A530" s="6">
        <v>43442.08012731481</v>
      </c>
      <c r="B530" s="7" t="str">
        <f t="shared" ref="B530:B531" si="87">HYPERLINK("https://twitter.com/RedxCubaOficial","@RedxCubaOficial")</f>
        <v>@RedxCubaOficial</v>
      </c>
      <c r="C530" s="8" t="s">
        <v>2202</v>
      </c>
      <c r="D530" s="9" t="s">
        <v>2203</v>
      </c>
      <c r="E530" s="10" t="str">
        <f>HYPERLINK("https://twitter.com/RedxCubaOficial/status/1071206570803904512","1071206570803904512")</f>
        <v>1071206570803904512</v>
      </c>
      <c r="F530" s="11" t="s">
        <v>2204</v>
      </c>
      <c r="G530" s="12"/>
      <c r="H530" s="12"/>
      <c r="I530" s="13">
        <v>0</v>
      </c>
      <c r="J530" s="13">
        <v>0</v>
      </c>
      <c r="K530" s="14" t="str">
        <f t="shared" ref="K530:K531" si="88">HYPERLINK("https://www.google.com/","Google")</f>
        <v>Google</v>
      </c>
      <c r="L530" s="13">
        <v>162</v>
      </c>
      <c r="M530" s="13">
        <v>453</v>
      </c>
      <c r="N530" s="13">
        <v>3</v>
      </c>
      <c r="O530" s="15"/>
      <c r="P530" s="6">
        <v>43146.612187499995</v>
      </c>
      <c r="Q530" s="12"/>
      <c r="R530" s="17" t="s">
        <v>2205</v>
      </c>
      <c r="S530" s="11" t="s">
        <v>2206</v>
      </c>
      <c r="T530" s="12"/>
      <c r="U530" s="10" t="str">
        <f t="shared" ref="U530:U531" si="89">HYPERLINK("https://pbs.twimg.com/profile_images/984376669384445952/PdBYZKI5.png","View")</f>
        <v>View</v>
      </c>
    </row>
    <row r="531" spans="1:21" ht="40.799999999999997">
      <c r="A531" s="6">
        <v>43442.080057870371</v>
      </c>
      <c r="B531" s="7" t="str">
        <f t="shared" si="87"/>
        <v>@RedxCubaOficial</v>
      </c>
      <c r="C531" s="8" t="s">
        <v>2202</v>
      </c>
      <c r="D531" s="9" t="s">
        <v>2203</v>
      </c>
      <c r="E531" s="10" t="str">
        <f>HYPERLINK("https://twitter.com/RedxCubaOficial/status/1071206547060129793","1071206547060129793")</f>
        <v>1071206547060129793</v>
      </c>
      <c r="F531" s="11" t="s">
        <v>2204</v>
      </c>
      <c r="G531" s="12"/>
      <c r="H531" s="12"/>
      <c r="I531" s="13">
        <v>0</v>
      </c>
      <c r="J531" s="13">
        <v>0</v>
      </c>
      <c r="K531" s="14" t="str">
        <f t="shared" si="88"/>
        <v>Google</v>
      </c>
      <c r="L531" s="13">
        <v>162</v>
      </c>
      <c r="M531" s="13">
        <v>453</v>
      </c>
      <c r="N531" s="13">
        <v>3</v>
      </c>
      <c r="O531" s="15"/>
      <c r="P531" s="6">
        <v>43146.612187499995</v>
      </c>
      <c r="Q531" s="12"/>
      <c r="R531" s="17" t="s">
        <v>2205</v>
      </c>
      <c r="S531" s="11" t="s">
        <v>2206</v>
      </c>
      <c r="T531" s="12"/>
      <c r="U531" s="10" t="str">
        <f t="shared" si="89"/>
        <v>View</v>
      </c>
    </row>
    <row r="532" spans="1:21" ht="40.799999999999997">
      <c r="A532" s="6">
        <v>43442.074953703705</v>
      </c>
      <c r="B532" s="7" t="str">
        <f>HYPERLINK("https://twitter.com/PdeSamos","@PdeSamos")</f>
        <v>@PdeSamos</v>
      </c>
      <c r="C532" s="8" t="s">
        <v>1193</v>
      </c>
      <c r="D532" s="9" t="s">
        <v>2207</v>
      </c>
      <c r="E532" s="10" t="str">
        <f>HYPERLINK("https://twitter.com/PdeSamos/status/1071204696029888512","1071204696029888512")</f>
        <v>1071204696029888512</v>
      </c>
      <c r="F532" s="11" t="s">
        <v>2208</v>
      </c>
      <c r="G532" s="12"/>
      <c r="H532" s="12"/>
      <c r="I532" s="13">
        <v>0</v>
      </c>
      <c r="J532" s="13">
        <v>0</v>
      </c>
      <c r="K532" s="14" t="str">
        <f>HYPERLINK("http://republico.ddns.net","App Libertad PdeSamos")</f>
        <v>App Libertad PdeSamos</v>
      </c>
      <c r="L532" s="13">
        <v>5398</v>
      </c>
      <c r="M532" s="13">
        <v>5441</v>
      </c>
      <c r="N532" s="13">
        <v>12</v>
      </c>
      <c r="O532" s="15"/>
      <c r="P532" s="6">
        <v>42889.820567129631</v>
      </c>
      <c r="Q532" s="16" t="s">
        <v>1198</v>
      </c>
      <c r="R532" s="17" t="s">
        <v>1199</v>
      </c>
      <c r="S532" s="12"/>
      <c r="T532" s="12"/>
      <c r="U532" s="10" t="str">
        <f>HYPERLINK("https://pbs.twimg.com/profile_images/871063742003511296/xK2IYbrO.jpg","View")</f>
        <v>View</v>
      </c>
    </row>
    <row r="533" spans="1:21" ht="30.6">
      <c r="A533" s="6">
        <v>43442.070138888885</v>
      </c>
      <c r="B533" s="7" t="str">
        <f>HYPERLINK("https://twitter.com/RadioHuancavilk","@RadioHuancavilk")</f>
        <v>@RadioHuancavilk</v>
      </c>
      <c r="C533" s="8" t="s">
        <v>2091</v>
      </c>
      <c r="D533" s="9" t="s">
        <v>2092</v>
      </c>
      <c r="E533" s="10" t="str">
        <f>HYPERLINK("https://twitter.com/RadioHuancavilk/status/1071202951677374464","1071202951677374464")</f>
        <v>1071202951677374464</v>
      </c>
      <c r="F533" s="11" t="s">
        <v>2093</v>
      </c>
      <c r="G533" s="11" t="s">
        <v>2210</v>
      </c>
      <c r="H533" s="12"/>
      <c r="I533" s="13">
        <v>0</v>
      </c>
      <c r="J533" s="13">
        <v>0</v>
      </c>
      <c r="K533" s="14" t="str">
        <f>HYPERLINK("https://about.twitter.com/products/tweetdeck","TweetDeck")</f>
        <v>TweetDeck</v>
      </c>
      <c r="L533" s="13">
        <v>24544</v>
      </c>
      <c r="M533" s="13">
        <v>132</v>
      </c>
      <c r="N533" s="13">
        <v>195</v>
      </c>
      <c r="O533" s="15"/>
      <c r="P533" s="6">
        <v>40735.782557870371</v>
      </c>
      <c r="Q533" s="16" t="s">
        <v>2095</v>
      </c>
      <c r="R533" s="17" t="s">
        <v>2096</v>
      </c>
      <c r="S533" s="11" t="s">
        <v>2097</v>
      </c>
      <c r="T533" s="12"/>
      <c r="U533" s="10" t="str">
        <f>HYPERLINK("https://pbs.twimg.com/profile_images/1018978289006891008/08-mGGQV.jpg","View")</f>
        <v>View</v>
      </c>
    </row>
    <row r="534" spans="1:21" ht="20.399999999999999">
      <c r="A534" s="6">
        <v>43442.069120370375</v>
      </c>
      <c r="B534" s="7" t="str">
        <f>HYPERLINK("https://twitter.com/SuperVeraz","@SuperVeraz")</f>
        <v>@SuperVeraz</v>
      </c>
      <c r="C534" s="8" t="s">
        <v>939</v>
      </c>
      <c r="D534" s="9" t="s">
        <v>714</v>
      </c>
      <c r="E534" s="10" t="str">
        <f>HYPERLINK("https://twitter.com/SuperVeraz/status/1071202584852131840","1071202584852131840")</f>
        <v>1071202584852131840</v>
      </c>
      <c r="F534" s="11" t="s">
        <v>715</v>
      </c>
      <c r="G534" s="11" t="s">
        <v>2211</v>
      </c>
      <c r="H534" s="12"/>
      <c r="I534" s="13">
        <v>0</v>
      </c>
      <c r="J534" s="13">
        <v>0</v>
      </c>
      <c r="K534" s="14" t="str">
        <f>HYPERLINK("http://epmundo.com","Tuiteo TOP EP (3)")</f>
        <v>Tuiteo TOP EP (3)</v>
      </c>
      <c r="L534" s="13">
        <v>25111</v>
      </c>
      <c r="M534" s="13">
        <v>25017</v>
      </c>
      <c r="N534" s="13">
        <v>36</v>
      </c>
      <c r="O534" s="15"/>
      <c r="P534" s="6">
        <v>42316.960196759261</v>
      </c>
      <c r="Q534" s="12"/>
      <c r="R534" s="17" t="s">
        <v>941</v>
      </c>
      <c r="S534" s="12"/>
      <c r="T534" s="12"/>
      <c r="U534" s="10" t="str">
        <f>HYPERLINK("https://pbs.twimg.com/profile_images/913065497314422785/YFj9YjjH.jpg","View")</f>
        <v>View</v>
      </c>
    </row>
    <row r="535" spans="1:21" ht="30.6">
      <c r="A535" s="6">
        <v>43442.068344907406</v>
      </c>
      <c r="B535" s="7" t="str">
        <f>HYPERLINK("https://twitter.com/miriamtey","@miriamtey")</f>
        <v>@miriamtey</v>
      </c>
      <c r="C535" s="8" t="s">
        <v>2212</v>
      </c>
      <c r="D535" s="9" t="s">
        <v>2213</v>
      </c>
      <c r="E535" s="10" t="str">
        <f>HYPERLINK("https://twitter.com/miriamtey/status/1071202304047624192","1071202304047624192")</f>
        <v>1071202304047624192</v>
      </c>
      <c r="F535" s="11" t="s">
        <v>2214</v>
      </c>
      <c r="G535" s="12"/>
      <c r="H535" s="12"/>
      <c r="I535" s="13">
        <v>0</v>
      </c>
      <c r="J535" s="13">
        <v>0</v>
      </c>
      <c r="K535" s="14" t="str">
        <f>HYPERLINK("http://twitter.com/download/iphone","Twitter for iPhone")</f>
        <v>Twitter for iPhone</v>
      </c>
      <c r="L535" s="13">
        <v>1331</v>
      </c>
      <c r="M535" s="13">
        <v>482</v>
      </c>
      <c r="N535" s="13">
        <v>17</v>
      </c>
      <c r="O535" s="15"/>
      <c r="P535" s="6">
        <v>40593.729768518519</v>
      </c>
      <c r="Q535" s="16" t="s">
        <v>85</v>
      </c>
      <c r="R535" s="17" t="s">
        <v>2215</v>
      </c>
      <c r="S535" s="11" t="s">
        <v>2216</v>
      </c>
      <c r="T535" s="12"/>
      <c r="U535" s="10" t="str">
        <f>HYPERLINK("https://pbs.twimg.com/profile_images/941425800250785792/LF-3oVKN.jpg","View")</f>
        <v>View</v>
      </c>
    </row>
    <row r="536" spans="1:21" ht="51">
      <c r="A536" s="6">
        <v>43442.068043981482</v>
      </c>
      <c r="B536" s="7" t="str">
        <f>HYPERLINK("https://twitter.com/MariaMolero99","@MariaMolero99")</f>
        <v>@MariaMolero99</v>
      </c>
      <c r="C536" s="8" t="s">
        <v>2217</v>
      </c>
      <c r="D536" s="9" t="s">
        <v>2218</v>
      </c>
      <c r="E536" s="10" t="str">
        <f>HYPERLINK("https://twitter.com/MariaMolero99/status/1071202194857345024","1071202194857345024")</f>
        <v>1071202194857345024</v>
      </c>
      <c r="F536" s="11" t="s">
        <v>2219</v>
      </c>
      <c r="G536" s="11" t="s">
        <v>2220</v>
      </c>
      <c r="H536" s="12"/>
      <c r="I536" s="13">
        <v>0</v>
      </c>
      <c r="J536" s="13">
        <v>0</v>
      </c>
      <c r="K536" s="14" t="str">
        <f t="shared" ref="K536:K537" si="90">HYPERLINK("http://twitter.com/download/android","Twitter for Android")</f>
        <v>Twitter for Android</v>
      </c>
      <c r="L536" s="13">
        <v>492</v>
      </c>
      <c r="M536" s="13">
        <v>111</v>
      </c>
      <c r="N536" s="13">
        <v>1</v>
      </c>
      <c r="O536" s="15"/>
      <c r="P536" s="6">
        <v>41086.528553240743</v>
      </c>
      <c r="Q536" s="16" t="s">
        <v>2221</v>
      </c>
      <c r="R536" s="17" t="s">
        <v>2222</v>
      </c>
      <c r="S536" s="12"/>
      <c r="T536" s="12"/>
      <c r="U536" s="10" t="str">
        <f>HYPERLINK("https://pbs.twimg.com/profile_images/1065397885087506432/-hu08_mF.jpg","View")</f>
        <v>View</v>
      </c>
    </row>
    <row r="537" spans="1:21" ht="51">
      <c r="A537" s="6">
        <v>43442.06627314815</v>
      </c>
      <c r="B537" s="7" t="str">
        <f>HYPERLINK("https://twitter.com/caval100","@caval100")</f>
        <v>@caval100</v>
      </c>
      <c r="C537" s="8" t="s">
        <v>501</v>
      </c>
      <c r="D537" s="9" t="s">
        <v>2223</v>
      </c>
      <c r="E537" s="10" t="str">
        <f>HYPERLINK("https://twitter.com/caval100/status/1071201552990384129","1071201552990384129")</f>
        <v>1071201552990384129</v>
      </c>
      <c r="F537" s="11" t="s">
        <v>2224</v>
      </c>
      <c r="G537" s="12"/>
      <c r="H537" s="12"/>
      <c r="I537" s="13">
        <v>0</v>
      </c>
      <c r="J537" s="13">
        <v>0</v>
      </c>
      <c r="K537" s="14" t="str">
        <f t="shared" si="90"/>
        <v>Twitter for Android</v>
      </c>
      <c r="L537" s="13">
        <v>119343</v>
      </c>
      <c r="M537" s="13">
        <v>94000</v>
      </c>
      <c r="N537" s="13">
        <v>982</v>
      </c>
      <c r="O537" s="15"/>
      <c r="P537" s="6">
        <v>40079.437094907407</v>
      </c>
      <c r="Q537" s="16" t="s">
        <v>505</v>
      </c>
      <c r="R537" s="17" t="s">
        <v>506</v>
      </c>
      <c r="S537" s="11" t="s">
        <v>507</v>
      </c>
      <c r="T537" s="12"/>
      <c r="U537" s="10" t="str">
        <f>HYPERLINK("https://pbs.twimg.com/profile_images/965350678301429760/uvGI7g8U.jpg","View")</f>
        <v>View</v>
      </c>
    </row>
    <row r="538" spans="1:21" ht="102">
      <c r="A538" s="6">
        <v>43442.06350694444</v>
      </c>
      <c r="B538" s="7" t="str">
        <f>HYPERLINK("https://twitter.com/Politica_Econom","@Politica_Econom")</f>
        <v>@Politica_Econom</v>
      </c>
      <c r="C538" s="8" t="s">
        <v>2226</v>
      </c>
      <c r="D538" s="9" t="s">
        <v>2227</v>
      </c>
      <c r="E538" s="10" t="str">
        <f>HYPERLINK("https://twitter.com/Politica_Econom/status/1071200551046500352","1071200551046500352")</f>
        <v>1071200551046500352</v>
      </c>
      <c r="F538" s="16" t="s">
        <v>2228</v>
      </c>
      <c r="G538" s="12"/>
      <c r="H538" s="12"/>
      <c r="I538" s="13">
        <v>6</v>
      </c>
      <c r="J538" s="13">
        <v>7</v>
      </c>
      <c r="K538" s="14" t="str">
        <f t="shared" ref="K538:K539" si="91">HYPERLINK("http://twitter.com","Twitter Web Client")</f>
        <v>Twitter Web Client</v>
      </c>
      <c r="L538" s="13">
        <v>74</v>
      </c>
      <c r="M538" s="13">
        <v>7</v>
      </c>
      <c r="N538" s="13">
        <v>0</v>
      </c>
      <c r="O538" s="15"/>
      <c r="P538" s="6">
        <v>43256.684733796297</v>
      </c>
      <c r="Q538" s="16" t="s">
        <v>2229</v>
      </c>
      <c r="R538" s="17" t="s">
        <v>2230</v>
      </c>
      <c r="S538" s="12"/>
      <c r="T538" s="12"/>
      <c r="U538" s="10" t="str">
        <f>HYPERLINK("https://pbs.twimg.com/profile_images/1071190263060545537/asVCYQEo.jpg","View")</f>
        <v>View</v>
      </c>
    </row>
    <row r="539" spans="1:21" ht="13.2">
      <c r="A539" s="6">
        <v>43442.063425925924</v>
      </c>
      <c r="B539" s="7" t="str">
        <f>HYPERLINK("https://twitter.com/GlezFeder","@GlezFeder")</f>
        <v>@GlezFeder</v>
      </c>
      <c r="C539" s="8" t="s">
        <v>799</v>
      </c>
      <c r="D539" s="9" t="s">
        <v>1175</v>
      </c>
      <c r="E539" s="10" t="str">
        <f>HYPERLINK("https://twitter.com/GlezFeder/status/1071200519627120640","1071200519627120640")</f>
        <v>1071200519627120640</v>
      </c>
      <c r="F539" s="11" t="s">
        <v>1176</v>
      </c>
      <c r="G539" s="12"/>
      <c r="H539" s="12"/>
      <c r="I539" s="13">
        <v>0</v>
      </c>
      <c r="J539" s="13">
        <v>0</v>
      </c>
      <c r="K539" s="14" t="str">
        <f t="shared" si="91"/>
        <v>Twitter Web Client</v>
      </c>
      <c r="L539" s="13">
        <v>237</v>
      </c>
      <c r="M539" s="13">
        <v>267</v>
      </c>
      <c r="N539" s="13">
        <v>2</v>
      </c>
      <c r="O539" s="15"/>
      <c r="P539" s="6">
        <v>43247.825613425928</v>
      </c>
      <c r="Q539" s="16" t="s">
        <v>802</v>
      </c>
      <c r="R539" s="17" t="s">
        <v>803</v>
      </c>
      <c r="S539" s="12"/>
      <c r="T539" s="12"/>
      <c r="U539" s="10" t="str">
        <f>HYPERLINK("https://pbs.twimg.com/profile_images/1060247976700973056/3K9K-vjB.jpg","View")</f>
        <v>View</v>
      </c>
    </row>
    <row r="540" spans="1:21" ht="20.399999999999999">
      <c r="A540" s="6">
        <v>43442.05804398148</v>
      </c>
      <c r="B540" s="7" t="str">
        <f>HYPERLINK("https://twitter.com/EP_Mundo","@EP_Mundo")</f>
        <v>@EP_Mundo</v>
      </c>
      <c r="C540" s="8" t="s">
        <v>735</v>
      </c>
      <c r="D540" s="9" t="s">
        <v>736</v>
      </c>
      <c r="E540" s="10" t="str">
        <f>HYPERLINK("https://twitter.com/EP_Mundo/status/1071198570747965441","1071198570747965441")</f>
        <v>1071198570747965441</v>
      </c>
      <c r="F540" s="11" t="s">
        <v>737</v>
      </c>
      <c r="G540" s="11" t="s">
        <v>2231</v>
      </c>
      <c r="H540" s="12"/>
      <c r="I540" s="13">
        <v>0</v>
      </c>
      <c r="J540" s="13">
        <v>0</v>
      </c>
      <c r="K540" s="14" t="str">
        <f>HYPERLINK("http://epmundo.com","Tuiteo TOP EP (2)")</f>
        <v>Tuiteo TOP EP (2)</v>
      </c>
      <c r="L540" s="13">
        <v>510220</v>
      </c>
      <c r="M540" s="13">
        <v>301867</v>
      </c>
      <c r="N540" s="13">
        <v>1363</v>
      </c>
      <c r="O540" s="15"/>
      <c r="P540" s="6">
        <v>40203.223078703704</v>
      </c>
      <c r="Q540" s="12"/>
      <c r="R540" s="17" t="s">
        <v>739</v>
      </c>
      <c r="S540" s="11" t="s">
        <v>740</v>
      </c>
      <c r="T540" s="12"/>
      <c r="U540" s="10" t="str">
        <f>HYPERLINK("https://pbs.twimg.com/profile_images/958329583778099200/87-xiuzB.jpg","View")</f>
        <v>View</v>
      </c>
    </row>
    <row r="541" spans="1:21" ht="30.6">
      <c r="A541" s="6">
        <v>43442.056099537032</v>
      </c>
      <c r="B541" s="7" t="str">
        <f>HYPERLINK("https://twitter.com/GregorioPintor","@GregorioPintor")</f>
        <v>@GregorioPintor</v>
      </c>
      <c r="C541" s="8" t="s">
        <v>2233</v>
      </c>
      <c r="D541" s="9" t="s">
        <v>1175</v>
      </c>
      <c r="E541" s="10" t="str">
        <f>HYPERLINK("https://twitter.com/GregorioPintor/status/1071197862694961153","1071197862694961153")</f>
        <v>1071197862694961153</v>
      </c>
      <c r="F541" s="11" t="s">
        <v>1176</v>
      </c>
      <c r="G541" s="12"/>
      <c r="H541" s="12"/>
      <c r="I541" s="13">
        <v>2</v>
      </c>
      <c r="J541" s="13">
        <v>3</v>
      </c>
      <c r="K541" s="14" t="str">
        <f t="shared" ref="K541:K542" si="92">HYPERLINK("http://twitter.com/download/android","Twitter for Android")</f>
        <v>Twitter for Android</v>
      </c>
      <c r="L541" s="13">
        <v>2221</v>
      </c>
      <c r="M541" s="13">
        <v>2406</v>
      </c>
      <c r="N541" s="13">
        <v>24</v>
      </c>
      <c r="O541" s="15"/>
      <c r="P541" s="6">
        <v>40563.892731481479</v>
      </c>
      <c r="Q541" s="12"/>
      <c r="R541" s="17" t="s">
        <v>2236</v>
      </c>
      <c r="S541" s="12"/>
      <c r="T541" s="12"/>
      <c r="U541" s="10" t="str">
        <f>HYPERLINK("https://pbs.twimg.com/profile_images/1004036014673879040/PkW7-tLx.jpg","View")</f>
        <v>View</v>
      </c>
    </row>
    <row r="542" spans="1:21" ht="30.6">
      <c r="A542" s="6">
        <v>43442.054629629631</v>
      </c>
      <c r="B542" s="7" t="str">
        <f>HYPERLINK("https://twitter.com/lunadebenidorm","@lunadebenidorm")</f>
        <v>@lunadebenidorm</v>
      </c>
      <c r="C542" s="8" t="s">
        <v>2237</v>
      </c>
      <c r="D542" s="9" t="s">
        <v>2238</v>
      </c>
      <c r="E542" s="10" t="str">
        <f>HYPERLINK("https://twitter.com/lunadebenidorm/status/1071197330349670402","1071197330349670402")</f>
        <v>1071197330349670402</v>
      </c>
      <c r="F542" s="11" t="s">
        <v>2239</v>
      </c>
      <c r="G542" s="12"/>
      <c r="H542" s="12"/>
      <c r="I542" s="13">
        <v>3</v>
      </c>
      <c r="J542" s="13">
        <v>5</v>
      </c>
      <c r="K542" s="14" t="str">
        <f t="shared" si="92"/>
        <v>Twitter for Android</v>
      </c>
      <c r="L542" s="13">
        <v>3951</v>
      </c>
      <c r="M542" s="13">
        <v>4067</v>
      </c>
      <c r="N542" s="13">
        <v>79</v>
      </c>
      <c r="O542" s="15"/>
      <c r="P542" s="6">
        <v>41461.81186342593</v>
      </c>
      <c r="Q542" s="12"/>
      <c r="R542" s="17" t="s">
        <v>2240</v>
      </c>
      <c r="S542" s="12"/>
      <c r="T542" s="12"/>
      <c r="U542" s="10" t="str">
        <f>HYPERLINK("https://pbs.twimg.com/profile_images/1066142568734515203/pN2PG8WE.jpg","View")</f>
        <v>View</v>
      </c>
    </row>
    <row r="543" spans="1:21" ht="20.399999999999999">
      <c r="A543" s="6">
        <v>43442.054479166662</v>
      </c>
      <c r="B543" s="7" t="str">
        <f>HYPERLINK("https://twitter.com/OttiMayo","@OttiMayo")</f>
        <v>@OttiMayo</v>
      </c>
      <c r="C543" s="8" t="s">
        <v>1815</v>
      </c>
      <c r="D543" s="9" t="s">
        <v>2241</v>
      </c>
      <c r="E543" s="10" t="str">
        <f>HYPERLINK("https://twitter.com/OttiMayo/status/1071197278734561281","1071197278734561281")</f>
        <v>1071197278734561281</v>
      </c>
      <c r="F543" s="11" t="s">
        <v>2242</v>
      </c>
      <c r="G543" s="12"/>
      <c r="H543" s="12"/>
      <c r="I543" s="13">
        <v>1</v>
      </c>
      <c r="J543" s="13">
        <v>2</v>
      </c>
      <c r="K543" s="14" t="str">
        <f>HYPERLINK("http://twitter.com","Twitter Web Client")</f>
        <v>Twitter Web Client</v>
      </c>
      <c r="L543" s="13">
        <v>491</v>
      </c>
      <c r="M543" s="13">
        <v>590</v>
      </c>
      <c r="N543" s="13">
        <v>11</v>
      </c>
      <c r="O543" s="15"/>
      <c r="P543" s="6">
        <v>41196.716874999998</v>
      </c>
      <c r="Q543" s="12"/>
      <c r="R543" s="17" t="s">
        <v>1816</v>
      </c>
      <c r="S543" s="12"/>
      <c r="T543" s="12"/>
      <c r="U543" s="10" t="str">
        <f>HYPERLINK("https://pbs.twimg.com/profile_images/746752096775577600/V3uwlUJn.jpg","View")</f>
        <v>View</v>
      </c>
    </row>
    <row r="544" spans="1:21" ht="40.799999999999997">
      <c r="A544" s="6">
        <v>43442.043900462959</v>
      </c>
      <c r="B544" s="7" t="str">
        <f>HYPERLINK("https://twitter.com/soydanielfeo","@soydanielfeo")</f>
        <v>@soydanielfeo</v>
      </c>
      <c r="C544" s="8" t="s">
        <v>2243</v>
      </c>
      <c r="D544" s="9" t="s">
        <v>2244</v>
      </c>
      <c r="E544" s="10" t="str">
        <f>HYPERLINK("https://twitter.com/soydanielfeo/status/1071193444415139840","1071193444415139840")</f>
        <v>1071193444415139840</v>
      </c>
      <c r="F544" s="12"/>
      <c r="G544" s="12"/>
      <c r="H544" s="12"/>
      <c r="I544" s="13">
        <v>3</v>
      </c>
      <c r="J544" s="13">
        <v>2</v>
      </c>
      <c r="K544" s="14" t="str">
        <f>HYPERLINK("http://twitter.com/download/iphone","Twitter for iPhone")</f>
        <v>Twitter for iPhone</v>
      </c>
      <c r="L544" s="13">
        <v>5669</v>
      </c>
      <c r="M544" s="13">
        <v>5366</v>
      </c>
      <c r="N544" s="13">
        <v>30</v>
      </c>
      <c r="O544" s="15"/>
      <c r="P544" s="6">
        <v>41352.916122685187</v>
      </c>
      <c r="Q544" s="16" t="s">
        <v>2245</v>
      </c>
      <c r="R544" s="17" t="s">
        <v>2246</v>
      </c>
      <c r="S544" s="12"/>
      <c r="T544" s="12"/>
      <c r="U544" s="10" t="str">
        <f>HYPERLINK("https://pbs.twimg.com/profile_images/947946490626002945/EbBdfyeF.jpg","View")</f>
        <v>View</v>
      </c>
    </row>
    <row r="545" spans="1:21" ht="51">
      <c r="A545" s="6">
        <v>43442.042083333334</v>
      </c>
      <c r="B545" s="7" t="str">
        <f>HYPERLINK("https://twitter.com/CofranFrancis","@CofranFrancis")</f>
        <v>@CofranFrancis</v>
      </c>
      <c r="C545" s="8" t="s">
        <v>2247</v>
      </c>
      <c r="D545" s="9" t="s">
        <v>2248</v>
      </c>
      <c r="E545" s="10" t="str">
        <f>HYPERLINK("https://twitter.com/CofranFrancis/status/1071192785062166529","1071192785062166529")</f>
        <v>1071192785062166529</v>
      </c>
      <c r="F545" s="12"/>
      <c r="G545" s="11" t="s">
        <v>2249</v>
      </c>
      <c r="H545" s="12"/>
      <c r="I545" s="13">
        <v>0</v>
      </c>
      <c r="J545" s="13">
        <v>0</v>
      </c>
      <c r="K545" s="14" t="str">
        <f>HYPERLINK("http://twitter.com","Twitter Web Client")</f>
        <v>Twitter Web Client</v>
      </c>
      <c r="L545" s="13">
        <v>31</v>
      </c>
      <c r="M545" s="13">
        <v>111</v>
      </c>
      <c r="N545" s="13">
        <v>1</v>
      </c>
      <c r="O545" s="15"/>
      <c r="P545" s="6">
        <v>43192.507164351853</v>
      </c>
      <c r="Q545" s="16" t="s">
        <v>2250</v>
      </c>
      <c r="R545" s="17" t="s">
        <v>2251</v>
      </c>
      <c r="S545" s="12"/>
      <c r="T545" s="12"/>
      <c r="U545" s="10" t="str">
        <f>HYPERLINK("https://pbs.twimg.com/profile_images/1061378643325280256/n03DucG4.jpg","View")</f>
        <v>View</v>
      </c>
    </row>
    <row r="546" spans="1:21" ht="30.6">
      <c r="A546" s="6">
        <v>43442.041689814811</v>
      </c>
      <c r="B546" s="7" t="str">
        <f>HYPERLINK("https://twitter.com/magnet_es","@magnet_es")</f>
        <v>@magnet_es</v>
      </c>
      <c r="C546" s="8" t="s">
        <v>2252</v>
      </c>
      <c r="D546" s="9" t="s">
        <v>2253</v>
      </c>
      <c r="E546" s="10" t="str">
        <f>HYPERLINK("https://twitter.com/magnet_es/status/1071192644288692226","1071192644288692226")</f>
        <v>1071192644288692226</v>
      </c>
      <c r="F546" s="11" t="s">
        <v>2254</v>
      </c>
      <c r="G546" s="12"/>
      <c r="H546" s="12"/>
      <c r="I546" s="13">
        <v>0</v>
      </c>
      <c r="J546" s="13">
        <v>1</v>
      </c>
      <c r="K546" s="14" t="str">
        <f>HYPERLINK("http://www.weblogssl.com","TweetPublishedPost")</f>
        <v>TweetPublishedPost</v>
      </c>
      <c r="L546" s="13">
        <v>25923</v>
      </c>
      <c r="M546" s="13">
        <v>36</v>
      </c>
      <c r="N546" s="13">
        <v>421</v>
      </c>
      <c r="O546" s="18" t="s">
        <v>41</v>
      </c>
      <c r="P546" s="6">
        <v>42124.466504629629</v>
      </c>
      <c r="Q546" s="16" t="s">
        <v>2255</v>
      </c>
      <c r="R546" s="17" t="s">
        <v>2256</v>
      </c>
      <c r="S546" s="11" t="s">
        <v>2257</v>
      </c>
      <c r="T546" s="12"/>
      <c r="U546" s="10" t="str">
        <f>HYPERLINK("https://pbs.twimg.com/profile_images/776724820629327872/8oluYED0.jpg","View")</f>
        <v>View</v>
      </c>
    </row>
    <row r="547" spans="1:21" ht="20.399999999999999">
      <c r="A547" s="6">
        <v>43442.040925925925</v>
      </c>
      <c r="B547" s="7" t="str">
        <f>HYPERLINK("https://twitter.com/10Turito","@10Turito")</f>
        <v>@10Turito</v>
      </c>
      <c r="C547" s="8" t="s">
        <v>2258</v>
      </c>
      <c r="D547" s="9" t="s">
        <v>2259</v>
      </c>
      <c r="E547" s="10" t="str">
        <f>HYPERLINK("https://twitter.com/10Turito/status/1071192367007449088","1071192367007449088")</f>
        <v>1071192367007449088</v>
      </c>
      <c r="F547" s="11" t="s">
        <v>2260</v>
      </c>
      <c r="G547" s="12"/>
      <c r="H547" s="12"/>
      <c r="I547" s="13">
        <v>0</v>
      </c>
      <c r="J547" s="13">
        <v>0</v>
      </c>
      <c r="K547" s="14" t="str">
        <f t="shared" ref="K547:K549" si="93">HYPERLINK("http://twitter.com","Twitter Web Client")</f>
        <v>Twitter Web Client</v>
      </c>
      <c r="L547" s="13">
        <v>174</v>
      </c>
      <c r="M547" s="13">
        <v>24</v>
      </c>
      <c r="N547" s="13">
        <v>0</v>
      </c>
      <c r="O547" s="15"/>
      <c r="P547" s="6">
        <v>41156.668425925927</v>
      </c>
      <c r="Q547" s="16" t="s">
        <v>2261</v>
      </c>
      <c r="R547" s="19"/>
      <c r="S547" s="12"/>
      <c r="T547" s="12"/>
      <c r="U547" s="10" t="str">
        <f>HYPERLINK("https://pbs.twimg.com/profile_images/641305211517149184/voH_rBLK.jpg","View")</f>
        <v>View</v>
      </c>
    </row>
    <row r="548" spans="1:21" ht="51">
      <c r="A548" s="6">
        <v>43442.040520833332</v>
      </c>
      <c r="B548" s="7" t="str">
        <f>HYPERLINK("https://twitter.com/LOGANQR_PDLR","@LOGANQR_PDLR")</f>
        <v>@LOGANQR_PDLR</v>
      </c>
      <c r="C548" s="8" t="s">
        <v>2262</v>
      </c>
      <c r="D548" s="9" t="s">
        <v>2263</v>
      </c>
      <c r="E548" s="10" t="str">
        <f>HYPERLINK("https://twitter.com/LOGANQR_PDLR/status/1071192220018098178","1071192220018098178")</f>
        <v>1071192220018098178</v>
      </c>
      <c r="F548" s="11" t="s">
        <v>2264</v>
      </c>
      <c r="G548" s="11" t="s">
        <v>2265</v>
      </c>
      <c r="H548" s="12"/>
      <c r="I548" s="13">
        <v>1</v>
      </c>
      <c r="J548" s="13">
        <v>4</v>
      </c>
      <c r="K548" s="14" t="str">
        <f t="shared" si="93"/>
        <v>Twitter Web Client</v>
      </c>
      <c r="L548" s="13">
        <v>1364</v>
      </c>
      <c r="M548" s="13">
        <v>621</v>
      </c>
      <c r="N548" s="13">
        <v>106</v>
      </c>
      <c r="O548" s="15"/>
      <c r="P548" s="6">
        <v>40566.803645833337</v>
      </c>
      <c r="Q548" s="12"/>
      <c r="R548" s="17" t="s">
        <v>2266</v>
      </c>
      <c r="S548" s="11" t="s">
        <v>2267</v>
      </c>
      <c r="T548" s="12"/>
      <c r="U548" s="10" t="str">
        <f>HYPERLINK("https://pbs.twimg.com/profile_images/3165768369/1cc43efd751410330e5538d7b4807459.png","View")</f>
        <v>View</v>
      </c>
    </row>
    <row r="549" spans="1:21" ht="30.6">
      <c r="A549" s="6">
        <v>43442.040173611109</v>
      </c>
      <c r="B549" s="7" t="str">
        <f>HYPERLINK("https://twitter.com/coli48","@coli48")</f>
        <v>@coli48</v>
      </c>
      <c r="C549" s="8" t="s">
        <v>2268</v>
      </c>
      <c r="D549" s="9" t="s">
        <v>2269</v>
      </c>
      <c r="E549" s="10" t="str">
        <f>HYPERLINK("https://twitter.com/coli48/status/1071192095111737345","1071192095111737345")</f>
        <v>1071192095111737345</v>
      </c>
      <c r="F549" s="11" t="s">
        <v>2270</v>
      </c>
      <c r="G549" s="12"/>
      <c r="H549" s="12"/>
      <c r="I549" s="13">
        <v>0</v>
      </c>
      <c r="J549" s="13">
        <v>0</v>
      </c>
      <c r="K549" s="14" t="str">
        <f t="shared" si="93"/>
        <v>Twitter Web Client</v>
      </c>
      <c r="L549" s="13">
        <v>2241</v>
      </c>
      <c r="M549" s="13">
        <v>2493</v>
      </c>
      <c r="N549" s="13">
        <v>34</v>
      </c>
      <c r="O549" s="15"/>
      <c r="P549" s="6">
        <v>40638.014861111107</v>
      </c>
      <c r="Q549" s="16" t="s">
        <v>60</v>
      </c>
      <c r="R549" s="17" t="s">
        <v>2271</v>
      </c>
      <c r="S549" s="12"/>
      <c r="T549" s="12"/>
      <c r="U549" s="10" t="str">
        <f>HYPERLINK("https://pbs.twimg.com/profile_images/818574685420011520/kBqBi4de.jpg","View")</f>
        <v>View</v>
      </c>
    </row>
    <row r="550" spans="1:21" ht="91.8">
      <c r="A550" s="6">
        <v>43442.039560185185</v>
      </c>
      <c r="B550" s="7" t="str">
        <f>HYPERLINK("https://twitter.com/KuroKtb","@KuroKtb")</f>
        <v>@KuroKtb</v>
      </c>
      <c r="C550" s="8" t="s">
        <v>2272</v>
      </c>
      <c r="D550" s="9" t="s">
        <v>2273</v>
      </c>
      <c r="E550" s="10" t="str">
        <f>HYPERLINK("https://twitter.com/KuroKtb/status/1071191870037000192","1071191870037000192")</f>
        <v>1071191870037000192</v>
      </c>
      <c r="F550" s="16" t="s">
        <v>2274</v>
      </c>
      <c r="G550" s="12"/>
      <c r="H550" s="12"/>
      <c r="I550" s="13">
        <v>0</v>
      </c>
      <c r="J550" s="13">
        <v>1</v>
      </c>
      <c r="K550" s="14" t="str">
        <f>HYPERLINK("https://mobile.twitter.com","Twitter Lite")</f>
        <v>Twitter Lite</v>
      </c>
      <c r="L550" s="13">
        <v>1009</v>
      </c>
      <c r="M550" s="13">
        <v>901</v>
      </c>
      <c r="N550" s="13">
        <v>4</v>
      </c>
      <c r="O550" s="15"/>
      <c r="P550" s="6">
        <v>42921.418715277774</v>
      </c>
      <c r="Q550" s="16" t="s">
        <v>2276</v>
      </c>
      <c r="R550" s="17" t="s">
        <v>2277</v>
      </c>
      <c r="S550" s="12"/>
      <c r="T550" s="12"/>
      <c r="U550" s="10" t="str">
        <f>HYPERLINK("https://pbs.twimg.com/profile_images/1007590701180293120/_JcT12uy.jpg","View")</f>
        <v>View</v>
      </c>
    </row>
    <row r="551" spans="1:21" ht="40.799999999999997">
      <c r="A551" s="6">
        <v>43442.039305555554</v>
      </c>
      <c r="B551" s="7" t="str">
        <f>HYPERLINK("https://twitter.com/Carlos_CotonG","@Carlos_CotonG")</f>
        <v>@Carlos_CotonG</v>
      </c>
      <c r="C551" s="8" t="s">
        <v>2280</v>
      </c>
      <c r="D551" s="9" t="s">
        <v>2281</v>
      </c>
      <c r="E551" s="10" t="str">
        <f>HYPERLINK("https://twitter.com/Carlos_CotonG/status/1071191777011482625","1071191777011482625")</f>
        <v>1071191777011482625</v>
      </c>
      <c r="F551" s="11" t="s">
        <v>2282</v>
      </c>
      <c r="G551" s="12"/>
      <c r="H551" s="12"/>
      <c r="I551" s="13">
        <v>1</v>
      </c>
      <c r="J551" s="13">
        <v>2</v>
      </c>
      <c r="K551" s="14" t="str">
        <f>HYPERLINK("http://twitter.com/download/iphone","Twitter for iPhone")</f>
        <v>Twitter for iPhone</v>
      </c>
      <c r="L551" s="13">
        <v>1869</v>
      </c>
      <c r="M551" s="13">
        <v>3152</v>
      </c>
      <c r="N551" s="13">
        <v>18</v>
      </c>
      <c r="O551" s="15"/>
      <c r="P551" s="6">
        <v>41930.524837962963</v>
      </c>
      <c r="Q551" s="16" t="s">
        <v>2283</v>
      </c>
      <c r="R551" s="17" t="s">
        <v>2284</v>
      </c>
      <c r="S551" s="12"/>
      <c r="T551" s="12"/>
      <c r="U551" s="10" t="str">
        <f>HYPERLINK("https://pbs.twimg.com/profile_images/1071323819380563968/aIFfZIKa.jpg","View")</f>
        <v>View</v>
      </c>
    </row>
    <row r="552" spans="1:21" ht="40.799999999999997">
      <c r="A552" s="6">
        <v>43442.038946759261</v>
      </c>
      <c r="B552" s="7" t="str">
        <f>HYPERLINK("https://twitter.com/joeluciabril29","@joeluciabril29")</f>
        <v>@joeluciabril29</v>
      </c>
      <c r="C552" s="8" t="s">
        <v>2285</v>
      </c>
      <c r="D552" s="9" t="s">
        <v>2286</v>
      </c>
      <c r="E552" s="10" t="str">
        <f>HYPERLINK("https://twitter.com/joeluciabril29/status/1071191650821697536","1071191650821697536")</f>
        <v>1071191650821697536</v>
      </c>
      <c r="F552" s="11" t="s">
        <v>2287</v>
      </c>
      <c r="G552" s="12"/>
      <c r="H552" s="12"/>
      <c r="I552" s="13">
        <v>0</v>
      </c>
      <c r="J552" s="13">
        <v>0</v>
      </c>
      <c r="K552" s="14" t="str">
        <f>HYPERLINK("http://www.facebook.com/twitter","Facebook")</f>
        <v>Facebook</v>
      </c>
      <c r="L552" s="13">
        <v>80</v>
      </c>
      <c r="M552" s="13">
        <v>215</v>
      </c>
      <c r="N552" s="13">
        <v>0</v>
      </c>
      <c r="O552" s="15"/>
      <c r="P552" s="6">
        <v>41417.61959490741</v>
      </c>
      <c r="Q552" s="16" t="s">
        <v>2288</v>
      </c>
      <c r="R552" s="17" t="s">
        <v>2289</v>
      </c>
      <c r="S552" s="12"/>
      <c r="T552" s="12"/>
      <c r="U552" s="10" t="str">
        <f>HYPERLINK("https://pbs.twimg.com/profile_images/3698692385/70f6113f936808fab99646e3ae224b58.jpeg","View")</f>
        <v>View</v>
      </c>
    </row>
    <row r="553" spans="1:21" ht="51">
      <c r="A553" s="6">
        <v>43442.037557870368</v>
      </c>
      <c r="B553" s="7" t="str">
        <f>HYPERLINK("https://twitter.com/eventosmadrid","@eventosmadrid")</f>
        <v>@eventosmadrid</v>
      </c>
      <c r="C553" s="8" t="s">
        <v>2290</v>
      </c>
      <c r="D553" s="9" t="s">
        <v>2291</v>
      </c>
      <c r="E553" s="10" t="str">
        <f>HYPERLINK("https://twitter.com/eventosmadrid/status/1071191144879480832","1071191144879480832")</f>
        <v>1071191144879480832</v>
      </c>
      <c r="F553" s="11" t="s">
        <v>2292</v>
      </c>
      <c r="G553" s="11" t="s">
        <v>2293</v>
      </c>
      <c r="H553" s="12"/>
      <c r="I553" s="13">
        <v>0</v>
      </c>
      <c r="J553" s="13">
        <v>0</v>
      </c>
      <c r="K553" s="14" t="str">
        <f>HYPERLINK("https://dlvrit.com/","dlvr.it")</f>
        <v>dlvr.it</v>
      </c>
      <c r="L553" s="13">
        <v>6782</v>
      </c>
      <c r="M553" s="13">
        <v>4865</v>
      </c>
      <c r="N553" s="13">
        <v>237</v>
      </c>
      <c r="O553" s="15"/>
      <c r="P553" s="6">
        <v>40619.348819444444</v>
      </c>
      <c r="Q553" s="16" t="s">
        <v>200</v>
      </c>
      <c r="R553" s="17" t="s">
        <v>2294</v>
      </c>
      <c r="S553" s="12"/>
      <c r="T553" s="12"/>
      <c r="U553" s="10" t="str">
        <f>HYPERLINK("https://pbs.twimg.com/profile_images/1471313774/rock_rio_madrid.jpeg","View")</f>
        <v>View</v>
      </c>
    </row>
    <row r="554" spans="1:21" ht="40.799999999999997">
      <c r="A554" s="6">
        <v>43442.036493055552</v>
      </c>
      <c r="B554" s="7" t="str">
        <f>HYPERLINK("https://twitter.com/joeluciabril29","@joeluciabril29")</f>
        <v>@joeluciabril29</v>
      </c>
      <c r="C554" s="8" t="s">
        <v>2285</v>
      </c>
      <c r="D554" s="9" t="s">
        <v>2286</v>
      </c>
      <c r="E554" s="10" t="str">
        <f>HYPERLINK("https://twitter.com/joeluciabril29/status/1071190760714838017","1071190760714838017")</f>
        <v>1071190760714838017</v>
      </c>
      <c r="F554" s="11" t="s">
        <v>2295</v>
      </c>
      <c r="G554" s="12"/>
      <c r="H554" s="12"/>
      <c r="I554" s="13">
        <v>0</v>
      </c>
      <c r="J554" s="13">
        <v>0</v>
      </c>
      <c r="K554" s="14" t="str">
        <f>HYPERLINK("http://www.facebook.com/twitter","Facebook")</f>
        <v>Facebook</v>
      </c>
      <c r="L554" s="13">
        <v>80</v>
      </c>
      <c r="M554" s="13">
        <v>215</v>
      </c>
      <c r="N554" s="13">
        <v>0</v>
      </c>
      <c r="O554" s="15"/>
      <c r="P554" s="6">
        <v>41417.61959490741</v>
      </c>
      <c r="Q554" s="16" t="s">
        <v>2288</v>
      </c>
      <c r="R554" s="17" t="s">
        <v>2289</v>
      </c>
      <c r="S554" s="12"/>
      <c r="T554" s="12"/>
      <c r="U554" s="10" t="str">
        <f>HYPERLINK("https://pbs.twimg.com/profile_images/3698692385/70f6113f936808fab99646e3ae224b58.jpeg","View")</f>
        <v>View</v>
      </c>
    </row>
    <row r="555" spans="1:21" ht="40.799999999999997">
      <c r="A555" s="6">
        <v>43442.035555555558</v>
      </c>
      <c r="B555" s="7" t="str">
        <f>HYPERLINK("https://twitter.com/JUANEN211065","@JUANEN211065")</f>
        <v>@JUANEN211065</v>
      </c>
      <c r="C555" s="8" t="s">
        <v>2296</v>
      </c>
      <c r="D555" s="9" t="s">
        <v>405</v>
      </c>
      <c r="E555" s="10" t="str">
        <f>HYPERLINK("https://twitter.com/JUANEN211065/status/1071190420489682946","1071190420489682946")</f>
        <v>1071190420489682946</v>
      </c>
      <c r="F555" s="11" t="s">
        <v>2297</v>
      </c>
      <c r="G555" s="12"/>
      <c r="H555" s="12"/>
      <c r="I555" s="13">
        <v>0</v>
      </c>
      <c r="J555" s="13">
        <v>0</v>
      </c>
      <c r="K555" s="14" t="str">
        <f>HYPERLINK("http://twitter.com/download/android","Twitter for Android")</f>
        <v>Twitter for Android</v>
      </c>
      <c r="L555" s="13">
        <v>1391</v>
      </c>
      <c r="M555" s="13">
        <v>2080</v>
      </c>
      <c r="N555" s="13">
        <v>38</v>
      </c>
      <c r="O555" s="15"/>
      <c r="P555" s="6">
        <v>41231.763611111113</v>
      </c>
      <c r="Q555" s="12"/>
      <c r="R555" s="17" t="s">
        <v>2298</v>
      </c>
      <c r="S555" s="12"/>
      <c r="T555" s="12"/>
      <c r="U555" s="10" t="str">
        <f>HYPERLINK("https://pbs.twimg.com/profile_images/1059221252605394944/u8-S58ef.jpg","View")</f>
        <v>View</v>
      </c>
    </row>
    <row r="556" spans="1:21" ht="40.799999999999997">
      <c r="A556" s="6">
        <v>43442.034490740742</v>
      </c>
      <c r="B556" s="7" t="str">
        <f>HYPERLINK("https://twitter.com/Unicanal","@Unicanal")</f>
        <v>@Unicanal</v>
      </c>
      <c r="C556" s="8" t="s">
        <v>2299</v>
      </c>
      <c r="D556" s="9" t="s">
        <v>2300</v>
      </c>
      <c r="E556" s="10" t="str">
        <f>HYPERLINK("https://twitter.com/Unicanal/status/1071190035830067200","1071190035830067200")</f>
        <v>1071190035830067200</v>
      </c>
      <c r="F556" s="12"/>
      <c r="G556" s="11" t="s">
        <v>2301</v>
      </c>
      <c r="H556" s="12"/>
      <c r="I556" s="13">
        <v>2</v>
      </c>
      <c r="J556" s="13">
        <v>2</v>
      </c>
      <c r="K556" s="14" t="str">
        <f>HYPERLINK("http://twitter.com","Twitter Web Client")</f>
        <v>Twitter Web Client</v>
      </c>
      <c r="L556" s="13">
        <v>214318</v>
      </c>
      <c r="M556" s="13">
        <v>6005</v>
      </c>
      <c r="N556" s="13">
        <v>363</v>
      </c>
      <c r="O556" s="18" t="s">
        <v>41</v>
      </c>
      <c r="P556" s="6">
        <v>40127.841111111113</v>
      </c>
      <c r="Q556" s="16" t="s">
        <v>2302</v>
      </c>
      <c r="R556" s="17" t="s">
        <v>2303</v>
      </c>
      <c r="S556" s="11" t="s">
        <v>2304</v>
      </c>
      <c r="T556" s="12"/>
      <c r="U556" s="10" t="str">
        <f>HYPERLINK("https://pbs.twimg.com/profile_images/1057967036029157377/_rcrZ4O8.jpg","View")</f>
        <v>View</v>
      </c>
    </row>
    <row r="557" spans="1:21" ht="40.799999999999997">
      <c r="A557" s="6">
        <v>43442.033148148148</v>
      </c>
      <c r="B557" s="7" t="str">
        <f>HYPERLINK("https://twitter.com/pilar_balado","@pilar_balado")</f>
        <v>@pilar_balado</v>
      </c>
      <c r="C557" s="8" t="s">
        <v>2305</v>
      </c>
      <c r="D557" s="9" t="s">
        <v>2306</v>
      </c>
      <c r="E557" s="10" t="str">
        <f>HYPERLINK("https://twitter.com/pilar_balado/status/1071189547701190656","1071189547701190656")</f>
        <v>1071189547701190656</v>
      </c>
      <c r="F557" s="11" t="s">
        <v>1176</v>
      </c>
      <c r="G557" s="12"/>
      <c r="H557" s="12"/>
      <c r="I557" s="13">
        <v>0</v>
      </c>
      <c r="J557" s="13">
        <v>0</v>
      </c>
      <c r="K557" s="14" t="str">
        <f t="shared" ref="K557:K558" si="94">HYPERLINK("http://twitter.com/download/android","Twitter for Android")</f>
        <v>Twitter for Android</v>
      </c>
      <c r="L557" s="13">
        <v>1393</v>
      </c>
      <c r="M557" s="13">
        <v>1017</v>
      </c>
      <c r="N557" s="13">
        <v>186</v>
      </c>
      <c r="O557" s="15"/>
      <c r="P557" s="6">
        <v>41866.857129629629</v>
      </c>
      <c r="Q557" s="12"/>
      <c r="R557" s="17" t="s">
        <v>2307</v>
      </c>
      <c r="S557" s="12"/>
      <c r="T557" s="12"/>
      <c r="U557" s="10" t="str">
        <f>HYPERLINK("https://pbs.twimg.com/profile_images/539512876017664000/3akyRwTo.jpeg","View")</f>
        <v>View</v>
      </c>
    </row>
    <row r="558" spans="1:21" ht="20.399999999999999">
      <c r="A558" s="6">
        <v>43442.031689814816</v>
      </c>
      <c r="B558" s="7" t="str">
        <f>HYPERLINK("https://twitter.com/Lua74830579","@Lua74830579")</f>
        <v>@Lua74830579</v>
      </c>
      <c r="C558" s="8" t="s">
        <v>2308</v>
      </c>
      <c r="D558" s="9" t="s">
        <v>2309</v>
      </c>
      <c r="E558" s="10" t="str">
        <f>HYPERLINK("https://twitter.com/Lua74830579/status/1071189018770059264","1071189018770059264")</f>
        <v>1071189018770059264</v>
      </c>
      <c r="F558" s="12"/>
      <c r="G558" s="12"/>
      <c r="H558" s="12"/>
      <c r="I558" s="13">
        <v>0</v>
      </c>
      <c r="J558" s="13">
        <v>0</v>
      </c>
      <c r="K558" s="14" t="str">
        <f t="shared" si="94"/>
        <v>Twitter for Android</v>
      </c>
      <c r="L558" s="13">
        <v>111</v>
      </c>
      <c r="M558" s="13">
        <v>55</v>
      </c>
      <c r="N558" s="13">
        <v>0</v>
      </c>
      <c r="O558" s="15"/>
      <c r="P558" s="6">
        <v>42893.574791666666</v>
      </c>
      <c r="Q558" s="12"/>
      <c r="R558" s="17" t="s">
        <v>2310</v>
      </c>
      <c r="S558" s="12"/>
      <c r="T558" s="12"/>
      <c r="U558" s="10" t="str">
        <f>HYPERLINK("https://pbs.twimg.com/profile_images/960172768829558784/19WEe6-b.jpg","View")</f>
        <v>View</v>
      </c>
    </row>
    <row r="559" spans="1:21" ht="30.6">
      <c r="A559" s="6">
        <v>43442.02851851852</v>
      </c>
      <c r="B559" s="7" t="str">
        <f>HYPERLINK("https://twitter.com/OrianaSimoz","@OrianaSimoz")</f>
        <v>@OrianaSimoz</v>
      </c>
      <c r="C559" s="8" t="s">
        <v>2311</v>
      </c>
      <c r="D559" s="9" t="s">
        <v>2312</v>
      </c>
      <c r="E559" s="10" t="str">
        <f>HYPERLINK("https://twitter.com/OrianaSimoz/status/1071187871397117952","1071187871397117952")</f>
        <v>1071187871397117952</v>
      </c>
      <c r="F559" s="16" t="s">
        <v>2313</v>
      </c>
      <c r="G559" s="11" t="s">
        <v>2314</v>
      </c>
      <c r="H559" s="12"/>
      <c r="I559" s="13">
        <v>0</v>
      </c>
      <c r="J559" s="13">
        <v>0</v>
      </c>
      <c r="K559" s="14" t="str">
        <f>HYPERLINK("https://dlvrit.com/","dlvr.it")</f>
        <v>dlvr.it</v>
      </c>
      <c r="L559" s="13">
        <v>20</v>
      </c>
      <c r="M559" s="13">
        <v>54</v>
      </c>
      <c r="N559" s="13">
        <v>0</v>
      </c>
      <c r="O559" s="15"/>
      <c r="P559" s="6">
        <v>42956.782962962963</v>
      </c>
      <c r="Q559" s="16" t="s">
        <v>871</v>
      </c>
      <c r="R559" s="17" t="s">
        <v>2315</v>
      </c>
      <c r="S559" s="12"/>
      <c r="T559" s="12"/>
      <c r="U559" s="10" t="str">
        <f>HYPERLINK("https://pbs.twimg.com/profile_images/1006572826097340416/9uGiB3BG.jpg","View")</f>
        <v>View</v>
      </c>
    </row>
    <row r="560" spans="1:21" ht="13.2">
      <c r="A560" s="6">
        <v>43442.026053240741</v>
      </c>
      <c r="B560" s="7" t="str">
        <f>HYPERLINK("https://twitter.com/Vzaino1","@Vzaino1")</f>
        <v>@Vzaino1</v>
      </c>
      <c r="C560" s="8" t="s">
        <v>1265</v>
      </c>
      <c r="D560" s="9" t="s">
        <v>1175</v>
      </c>
      <c r="E560" s="10" t="str">
        <f>HYPERLINK("https://twitter.com/Vzaino1/status/1071186974625681409","1071186974625681409")</f>
        <v>1071186974625681409</v>
      </c>
      <c r="F560" s="11" t="s">
        <v>1176</v>
      </c>
      <c r="G560" s="12"/>
      <c r="H560" s="12"/>
      <c r="I560" s="13">
        <v>1</v>
      </c>
      <c r="J560" s="13">
        <v>1</v>
      </c>
      <c r="K560" s="14" t="str">
        <f>HYPERLINK("http://twitter.com","Twitter Web Client")</f>
        <v>Twitter Web Client</v>
      </c>
      <c r="L560" s="13">
        <v>287</v>
      </c>
      <c r="M560" s="13">
        <v>654</v>
      </c>
      <c r="N560" s="13">
        <v>0</v>
      </c>
      <c r="O560" s="15"/>
      <c r="P560" s="6">
        <v>43402.79069444444</v>
      </c>
      <c r="Q560" s="12"/>
      <c r="R560" s="17" t="s">
        <v>1268</v>
      </c>
      <c r="S560" s="12"/>
      <c r="T560" s="12"/>
      <c r="U560" s="18" t="s">
        <v>67</v>
      </c>
    </row>
    <row r="561" spans="1:21" ht="51">
      <c r="A561" s="6">
        <v>43442.023356481484</v>
      </c>
      <c r="B561" s="7" t="str">
        <f>HYPERLINK("https://twitter.com/timoner727","@timoner727")</f>
        <v>@timoner727</v>
      </c>
      <c r="C561" s="8" t="s">
        <v>2316</v>
      </c>
      <c r="D561" s="9" t="s">
        <v>2317</v>
      </c>
      <c r="E561" s="10" t="str">
        <f>HYPERLINK("https://twitter.com/timoner727/status/1071185999487741954","1071185999487741954")</f>
        <v>1071185999487741954</v>
      </c>
      <c r="F561" s="11" t="s">
        <v>115</v>
      </c>
      <c r="G561" s="12"/>
      <c r="H561" s="12"/>
      <c r="I561" s="13">
        <v>0</v>
      </c>
      <c r="J561" s="13">
        <v>0</v>
      </c>
      <c r="K561" s="14" t="str">
        <f>HYPERLINK("http://twitter.com/download/android","Twitter for Android")</f>
        <v>Twitter for Android</v>
      </c>
      <c r="L561" s="13">
        <v>391</v>
      </c>
      <c r="M561" s="13">
        <v>457</v>
      </c>
      <c r="N561" s="13">
        <v>10</v>
      </c>
      <c r="O561" s="15"/>
      <c r="P561" s="6">
        <v>40719.759768518517</v>
      </c>
      <c r="Q561" s="16" t="s">
        <v>2318</v>
      </c>
      <c r="R561" s="17" t="s">
        <v>2319</v>
      </c>
      <c r="S561" s="12"/>
      <c r="T561" s="12"/>
      <c r="U561" s="10" t="str">
        <f>HYPERLINK("https://pbs.twimg.com/profile_images/1038457406144094208/h6i8HpJw.jpg","View")</f>
        <v>View</v>
      </c>
    </row>
    <row r="562" spans="1:21" ht="30.6">
      <c r="A562" s="6">
        <v>43442.021030092597</v>
      </c>
      <c r="B562" s="7" t="str">
        <f>HYPERLINK("https://twitter.com/_infoLibre","@_infoLibre")</f>
        <v>@_infoLibre</v>
      </c>
      <c r="C562" s="8" t="s">
        <v>2320</v>
      </c>
      <c r="D562" s="9" t="s">
        <v>2321</v>
      </c>
      <c r="E562" s="10" t="str">
        <f>HYPERLINK("https://twitter.com/_infoLibre/status/1071185156424257536","1071185156424257536")</f>
        <v>1071185156424257536</v>
      </c>
      <c r="F562" s="11" t="s">
        <v>2322</v>
      </c>
      <c r="G562" s="11" t="s">
        <v>2323</v>
      </c>
      <c r="H562" s="12"/>
      <c r="I562" s="13">
        <v>10</v>
      </c>
      <c r="J562" s="13">
        <v>6</v>
      </c>
      <c r="K562" s="14" t="str">
        <f>HYPERLINK("https://www.hootsuite.com","Hootsuite Inc.")</f>
        <v>Hootsuite Inc.</v>
      </c>
      <c r="L562" s="13">
        <v>249792</v>
      </c>
      <c r="M562" s="13">
        <v>727</v>
      </c>
      <c r="N562" s="13">
        <v>4485</v>
      </c>
      <c r="O562" s="18" t="s">
        <v>41</v>
      </c>
      <c r="P562" s="6">
        <v>41069.919710648144</v>
      </c>
      <c r="Q562" s="16" t="s">
        <v>200</v>
      </c>
      <c r="R562" s="17" t="s">
        <v>2324</v>
      </c>
      <c r="S562" s="11" t="s">
        <v>2325</v>
      </c>
      <c r="T562" s="12"/>
      <c r="U562" s="10" t="str">
        <f>HYPERLINK("https://pbs.twimg.com/profile_images/972036821000605696/wPuPU0Mx.jpg","View")</f>
        <v>View</v>
      </c>
    </row>
    <row r="563" spans="1:21" ht="40.799999999999997">
      <c r="A563" s="6">
        <v>43442.018067129626</v>
      </c>
      <c r="B563" s="7" t="str">
        <f>HYPERLINK("https://twitter.com/charlypv81","@charlypv81")</f>
        <v>@charlypv81</v>
      </c>
      <c r="C563" s="8" t="s">
        <v>2326</v>
      </c>
      <c r="D563" s="9" t="s">
        <v>2327</v>
      </c>
      <c r="E563" s="10" t="str">
        <f>HYPERLINK("https://twitter.com/charlypv81/status/1071184083827462144","1071184083827462144")</f>
        <v>1071184083827462144</v>
      </c>
      <c r="F563" s="12"/>
      <c r="G563" s="12"/>
      <c r="H563" s="12"/>
      <c r="I563" s="13">
        <v>0</v>
      </c>
      <c r="J563" s="13">
        <v>4</v>
      </c>
      <c r="K563" s="14" t="str">
        <f t="shared" ref="K563:K565" si="95">HYPERLINK("http://twitter.com/download/android","Twitter for Android")</f>
        <v>Twitter for Android</v>
      </c>
      <c r="L563" s="13">
        <v>204</v>
      </c>
      <c r="M563" s="13">
        <v>378</v>
      </c>
      <c r="N563" s="13">
        <v>0</v>
      </c>
      <c r="O563" s="15"/>
      <c r="P563" s="6">
        <v>41174.079861111109</v>
      </c>
      <c r="Q563" s="16" t="s">
        <v>2328</v>
      </c>
      <c r="R563" s="17" t="s">
        <v>2329</v>
      </c>
      <c r="S563" s="12"/>
      <c r="T563" s="12"/>
      <c r="U563" s="10" t="str">
        <f>HYPERLINK("https://pbs.twimg.com/profile_images/1012176097109307392/BFyO2HLN.jpg","View")</f>
        <v>View</v>
      </c>
    </row>
    <row r="564" spans="1:21" ht="40.799999999999997">
      <c r="A564" s="6">
        <v>43442.017824074079</v>
      </c>
      <c r="B564" s="7" t="str">
        <f>HYPERLINK("https://twitter.com/delmoralo","@delmoralo")</f>
        <v>@delmoralo</v>
      </c>
      <c r="C564" s="8" t="s">
        <v>111</v>
      </c>
      <c r="D564" s="9" t="s">
        <v>2330</v>
      </c>
      <c r="E564" s="10" t="str">
        <f>HYPERLINK("https://twitter.com/delmoralo/status/1071183992668475392","1071183992668475392")</f>
        <v>1071183992668475392</v>
      </c>
      <c r="F564" s="11" t="s">
        <v>2331</v>
      </c>
      <c r="G564" s="12"/>
      <c r="H564" s="12"/>
      <c r="I564" s="13">
        <v>1</v>
      </c>
      <c r="J564" s="13">
        <v>10</v>
      </c>
      <c r="K564" s="14" t="str">
        <f t="shared" si="95"/>
        <v>Twitter for Android</v>
      </c>
      <c r="L564" s="13">
        <v>2876</v>
      </c>
      <c r="M564" s="13">
        <v>295</v>
      </c>
      <c r="N564" s="13">
        <v>64</v>
      </c>
      <c r="O564" s="15"/>
      <c r="P564" s="6">
        <v>40406.843807870369</v>
      </c>
      <c r="Q564" s="16" t="s">
        <v>116</v>
      </c>
      <c r="R564" s="17" t="s">
        <v>117</v>
      </c>
      <c r="S564" s="11" t="s">
        <v>118</v>
      </c>
      <c r="T564" s="12"/>
      <c r="U564" s="10" t="str">
        <f>HYPERLINK("https://pbs.twimg.com/profile_images/1027698376077451264/ybqgwhYD.jpg","View")</f>
        <v>View</v>
      </c>
    </row>
    <row r="565" spans="1:21" ht="13.2">
      <c r="A565" s="6">
        <v>43442.014004629629</v>
      </c>
      <c r="B565" s="7" t="str">
        <f>HYPERLINK("https://twitter.com/DLS1922","@DLS1922")</f>
        <v>@DLS1922</v>
      </c>
      <c r="C565" s="8" t="s">
        <v>2332</v>
      </c>
      <c r="D565" s="9" t="s">
        <v>2333</v>
      </c>
      <c r="E565" s="10" t="str">
        <f>HYPERLINK("https://twitter.com/DLS1922/status/1071182609475092480","1071182609475092480")</f>
        <v>1071182609475092480</v>
      </c>
      <c r="F565" s="12"/>
      <c r="G565" s="12"/>
      <c r="H565" s="12"/>
      <c r="I565" s="13">
        <v>0</v>
      </c>
      <c r="J565" s="13">
        <v>0</v>
      </c>
      <c r="K565" s="14" t="str">
        <f t="shared" si="95"/>
        <v>Twitter for Android</v>
      </c>
      <c r="L565" s="13">
        <v>125</v>
      </c>
      <c r="M565" s="13">
        <v>239</v>
      </c>
      <c r="N565" s="13">
        <v>1</v>
      </c>
      <c r="O565" s="15"/>
      <c r="P565" s="6">
        <v>42928.745266203703</v>
      </c>
      <c r="Q565" s="12"/>
      <c r="R565" s="17" t="s">
        <v>2334</v>
      </c>
      <c r="S565" s="12"/>
      <c r="T565" s="12"/>
      <c r="U565" s="10" t="str">
        <f>HYPERLINK("https://pbs.twimg.com/profile_images/1018386260681994240/swogZ1xR.jpg","View")</f>
        <v>View</v>
      </c>
    </row>
    <row r="566" spans="1:21" ht="40.799999999999997">
      <c r="A566" s="6">
        <v>43442.011469907404</v>
      </c>
      <c r="B566" s="7" t="str">
        <f>HYPERLINK("https://twitter.com/rodriguezBego","@rodriguezBego")</f>
        <v>@rodriguezBego</v>
      </c>
      <c r="C566" s="8" t="s">
        <v>2335</v>
      </c>
      <c r="D566" s="9" t="s">
        <v>1175</v>
      </c>
      <c r="E566" s="10" t="str">
        <f>HYPERLINK("https://twitter.com/rodriguezBego/status/1071181693074194433","1071181693074194433")</f>
        <v>1071181693074194433</v>
      </c>
      <c r="F566" s="11" t="s">
        <v>1176</v>
      </c>
      <c r="G566" s="12"/>
      <c r="H566" s="12"/>
      <c r="I566" s="13">
        <v>0</v>
      </c>
      <c r="J566" s="13">
        <v>1</v>
      </c>
      <c r="K566" s="14" t="str">
        <f t="shared" ref="K566:K567" si="96">HYPERLINK("http://twitter.com","Twitter Web Client")</f>
        <v>Twitter Web Client</v>
      </c>
      <c r="L566" s="13">
        <v>60</v>
      </c>
      <c r="M566" s="13">
        <v>135</v>
      </c>
      <c r="N566" s="13">
        <v>5</v>
      </c>
      <c r="O566" s="15"/>
      <c r="P566" s="6">
        <v>40754.475347222222</v>
      </c>
      <c r="Q566" s="16" t="s">
        <v>2336</v>
      </c>
      <c r="R566" s="17" t="s">
        <v>2337</v>
      </c>
      <c r="S566" s="12"/>
      <c r="T566" s="12"/>
      <c r="U566" s="10" t="str">
        <f>HYPERLINK("https://pbs.twimg.com/profile_images/1059124497234706447/9d18c2RW.jpg","View")</f>
        <v>View</v>
      </c>
    </row>
    <row r="567" spans="1:21" ht="40.799999999999997">
      <c r="A567" s="6">
        <v>43442.011203703703</v>
      </c>
      <c r="B567" s="7" t="str">
        <f>HYPERLINK("https://twitter.com/PodemosLinares","@PodemosLinares")</f>
        <v>@PodemosLinares</v>
      </c>
      <c r="C567" s="8" t="s">
        <v>2338</v>
      </c>
      <c r="D567" s="9" t="s">
        <v>2339</v>
      </c>
      <c r="E567" s="10" t="str">
        <f>HYPERLINK("https://twitter.com/PodemosLinares/status/1071181596974346248","1071181596974346248")</f>
        <v>1071181596974346248</v>
      </c>
      <c r="F567" s="12"/>
      <c r="G567" s="11" t="s">
        <v>2341</v>
      </c>
      <c r="H567" s="12"/>
      <c r="I567" s="13">
        <v>1</v>
      </c>
      <c r="J567" s="13">
        <v>1</v>
      </c>
      <c r="K567" s="14" t="str">
        <f t="shared" si="96"/>
        <v>Twitter Web Client</v>
      </c>
      <c r="L567" s="13">
        <v>3647</v>
      </c>
      <c r="M567" s="13">
        <v>1805</v>
      </c>
      <c r="N567" s="13">
        <v>46</v>
      </c>
      <c r="O567" s="15"/>
      <c r="P567" s="6">
        <v>41680.776122685187</v>
      </c>
      <c r="Q567" s="16" t="s">
        <v>2342</v>
      </c>
      <c r="R567" s="17" t="s">
        <v>2343</v>
      </c>
      <c r="S567" s="12"/>
      <c r="T567" s="12"/>
      <c r="U567" s="10" t="str">
        <f>HYPERLINK("https://pbs.twimg.com/profile_images/1065373506962186240/mZE5Cze_.jpg","View")</f>
        <v>View</v>
      </c>
    </row>
    <row r="568" spans="1:21" ht="51">
      <c r="A568" s="6">
        <v>43442.01116898148</v>
      </c>
      <c r="B568" s="7" t="str">
        <f t="shared" ref="B568:B569" si="97">HYPERLINK("https://twitter.com/JACAMPOSPALOMO","@JACAMPOSPALOMO")</f>
        <v>@JACAMPOSPALOMO</v>
      </c>
      <c r="C568" s="8" t="s">
        <v>2344</v>
      </c>
      <c r="D568" s="9" t="s">
        <v>2345</v>
      </c>
      <c r="E568" s="10" t="str">
        <f>HYPERLINK("https://twitter.com/JACAMPOSPALOMO/status/1071181580675284992","1071181580675284992")</f>
        <v>1071181580675284992</v>
      </c>
      <c r="F568" s="11" t="s">
        <v>2346</v>
      </c>
      <c r="G568" s="12"/>
      <c r="H568" s="12"/>
      <c r="I568" s="13">
        <v>1</v>
      </c>
      <c r="J568" s="13">
        <v>0</v>
      </c>
      <c r="K568" s="14" t="str">
        <f t="shared" ref="K568:K569" si="98">HYPERLINK("http://twitter.com/download/android","Twitter for Android")</f>
        <v>Twitter for Android</v>
      </c>
      <c r="L568" s="13">
        <v>663</v>
      </c>
      <c r="M568" s="13">
        <v>902</v>
      </c>
      <c r="N568" s="13">
        <v>32</v>
      </c>
      <c r="O568" s="15"/>
      <c r="P568" s="6">
        <v>40654.628171296295</v>
      </c>
      <c r="Q568" s="12"/>
      <c r="R568" s="17" t="s">
        <v>2347</v>
      </c>
      <c r="S568" s="11" t="s">
        <v>2348</v>
      </c>
      <c r="T568" s="12"/>
      <c r="U568" s="10" t="str">
        <f t="shared" ref="U568:U569" si="99">HYPERLINK("https://pbs.twimg.com/profile_images/750108819326402560/iOaRPGWW.jpg","View")</f>
        <v>View</v>
      </c>
    </row>
    <row r="569" spans="1:21" ht="51">
      <c r="A569" s="6">
        <v>43442.010648148149</v>
      </c>
      <c r="B569" s="7" t="str">
        <f t="shared" si="97"/>
        <v>@JACAMPOSPALOMO</v>
      </c>
      <c r="C569" s="8" t="s">
        <v>2344</v>
      </c>
      <c r="D569" s="9" t="s">
        <v>2349</v>
      </c>
      <c r="E569" s="10" t="str">
        <f>HYPERLINK("https://twitter.com/JACAMPOSPALOMO/status/1071181395224076288","1071181395224076288")</f>
        <v>1071181395224076288</v>
      </c>
      <c r="F569" s="11" t="s">
        <v>2346</v>
      </c>
      <c r="G569" s="12"/>
      <c r="H569" s="12"/>
      <c r="I569" s="13">
        <v>1</v>
      </c>
      <c r="J569" s="13">
        <v>1</v>
      </c>
      <c r="K569" s="14" t="str">
        <f t="shared" si="98"/>
        <v>Twitter for Android</v>
      </c>
      <c r="L569" s="13">
        <v>663</v>
      </c>
      <c r="M569" s="13">
        <v>902</v>
      </c>
      <c r="N569" s="13">
        <v>32</v>
      </c>
      <c r="O569" s="15"/>
      <c r="P569" s="6">
        <v>40654.628171296295</v>
      </c>
      <c r="Q569" s="12"/>
      <c r="R569" s="17" t="s">
        <v>2347</v>
      </c>
      <c r="S569" s="11" t="s">
        <v>2348</v>
      </c>
      <c r="T569" s="12"/>
      <c r="U569" s="10" t="str">
        <f t="shared" si="99"/>
        <v>View</v>
      </c>
    </row>
    <row r="570" spans="1:21" ht="20.399999999999999">
      <c r="A570" s="6">
        <v>43442.01053240741</v>
      </c>
      <c r="B570" s="7" t="str">
        <f>HYPERLINK("https://twitter.com/10Turito","@10Turito")</f>
        <v>@10Turito</v>
      </c>
      <c r="C570" s="8" t="s">
        <v>2258</v>
      </c>
      <c r="D570" s="9" t="s">
        <v>2350</v>
      </c>
      <c r="E570" s="10" t="str">
        <f>HYPERLINK("https://twitter.com/10Turito/status/1071181351141949441","1071181351141949441")</f>
        <v>1071181351141949441</v>
      </c>
      <c r="F570" s="11" t="s">
        <v>2351</v>
      </c>
      <c r="G570" s="12"/>
      <c r="H570" s="12"/>
      <c r="I570" s="13">
        <v>0</v>
      </c>
      <c r="J570" s="13">
        <v>0</v>
      </c>
      <c r="K570" s="14" t="str">
        <f>HYPERLINK("http://twitter.com","Twitter Web Client")</f>
        <v>Twitter Web Client</v>
      </c>
      <c r="L570" s="13">
        <v>174</v>
      </c>
      <c r="M570" s="13">
        <v>24</v>
      </c>
      <c r="N570" s="13">
        <v>0</v>
      </c>
      <c r="O570" s="15"/>
      <c r="P570" s="6">
        <v>41156.668425925927</v>
      </c>
      <c r="Q570" s="16" t="s">
        <v>2261</v>
      </c>
      <c r="R570" s="19"/>
      <c r="S570" s="12"/>
      <c r="T570" s="12"/>
      <c r="U570" s="10" t="str">
        <f>HYPERLINK("https://pbs.twimg.com/profile_images/641305211517149184/voH_rBLK.jpg","View")</f>
        <v>View</v>
      </c>
    </row>
    <row r="571" spans="1:21" ht="40.799999999999997">
      <c r="A571" s="6">
        <v>43442.008437500001</v>
      </c>
      <c r="B571" s="7" t="str">
        <f>HYPERLINK("https://twitter.com/Eva71761675","@Eva71761675")</f>
        <v>@Eva71761675</v>
      </c>
      <c r="C571" s="8" t="s">
        <v>2352</v>
      </c>
      <c r="D571" s="9" t="s">
        <v>2241</v>
      </c>
      <c r="E571" s="10" t="str">
        <f>HYPERLINK("https://twitter.com/Eva71761675/status/1071180594107830272","1071180594107830272")</f>
        <v>1071180594107830272</v>
      </c>
      <c r="F571" s="11" t="s">
        <v>2242</v>
      </c>
      <c r="G571" s="12"/>
      <c r="H571" s="12"/>
      <c r="I571" s="13">
        <v>2</v>
      </c>
      <c r="J571" s="13">
        <v>2</v>
      </c>
      <c r="K571" s="14" t="str">
        <f t="shared" ref="K571:K573" si="100">HYPERLINK("http://twitter.com/download/android","Twitter for Android")</f>
        <v>Twitter for Android</v>
      </c>
      <c r="L571" s="13">
        <v>45</v>
      </c>
      <c r="M571" s="13">
        <v>76</v>
      </c>
      <c r="N571" s="13">
        <v>0</v>
      </c>
      <c r="O571" s="15"/>
      <c r="P571" s="6">
        <v>43009.060115740736</v>
      </c>
      <c r="Q571" s="16" t="s">
        <v>1073</v>
      </c>
      <c r="R571" s="17" t="s">
        <v>2353</v>
      </c>
      <c r="S571" s="12"/>
      <c r="T571" s="12"/>
      <c r="U571" s="10" t="str">
        <f>HYPERLINK("https://pbs.twimg.com/profile_images/1015377723286605824/g0KsvS6W.jpg","View")</f>
        <v>View</v>
      </c>
    </row>
    <row r="572" spans="1:21" ht="30.6">
      <c r="A572" s="6">
        <v>43442.006238425922</v>
      </c>
      <c r="B572" s="7" t="str">
        <f>HYPERLINK("https://twitter.com/bcnmonforte","@bcnmonforte")</f>
        <v>@bcnmonforte</v>
      </c>
      <c r="C572" s="8" t="s">
        <v>1112</v>
      </c>
      <c r="D572" s="9" t="s">
        <v>2354</v>
      </c>
      <c r="E572" s="10" t="str">
        <f>HYPERLINK("https://twitter.com/bcnmonforte/status/1071179796074389504","1071179796074389504")</f>
        <v>1071179796074389504</v>
      </c>
      <c r="F572" s="11" t="s">
        <v>2355</v>
      </c>
      <c r="G572" s="12"/>
      <c r="H572" s="12"/>
      <c r="I572" s="13">
        <v>0</v>
      </c>
      <c r="J572" s="13">
        <v>5</v>
      </c>
      <c r="K572" s="14" t="str">
        <f t="shared" si="100"/>
        <v>Twitter for Android</v>
      </c>
      <c r="L572" s="13">
        <v>13127</v>
      </c>
      <c r="M572" s="13">
        <v>14187</v>
      </c>
      <c r="N572" s="13">
        <v>44</v>
      </c>
      <c r="O572" s="15"/>
      <c r="P572" s="6">
        <v>40855.449872685189</v>
      </c>
      <c r="Q572" s="12"/>
      <c r="R572" s="17" t="s">
        <v>1115</v>
      </c>
      <c r="S572" s="12"/>
      <c r="T572" s="12"/>
      <c r="U572" s="10" t="str">
        <f>HYPERLINK("https://pbs.twimg.com/profile_images/3693864334/ab8d700e3cc59614ef51cd69bb0214c6.jpeg","View")</f>
        <v>View</v>
      </c>
    </row>
    <row r="573" spans="1:21" ht="20.399999999999999">
      <c r="A573" s="6">
        <v>43442.003252314811</v>
      </c>
      <c r="B573" s="7" t="str">
        <f>HYPERLINK("https://twitter.com/santiago_mpas","@santiago_mpas")</f>
        <v>@santiago_mpas</v>
      </c>
      <c r="C573" s="8" t="s">
        <v>2356</v>
      </c>
      <c r="D573" s="9" t="s">
        <v>2357</v>
      </c>
      <c r="E573" s="10" t="str">
        <f>HYPERLINK("https://twitter.com/santiago_mpas/status/1071178714791243777","1071178714791243777")</f>
        <v>1071178714791243777</v>
      </c>
      <c r="F573" s="12"/>
      <c r="G573" s="11" t="s">
        <v>2358</v>
      </c>
      <c r="H573" s="12"/>
      <c r="I573" s="13">
        <v>0</v>
      </c>
      <c r="J573" s="13">
        <v>0</v>
      </c>
      <c r="K573" s="14" t="str">
        <f t="shared" si="100"/>
        <v>Twitter for Android</v>
      </c>
      <c r="L573" s="13">
        <v>205</v>
      </c>
      <c r="M573" s="13">
        <v>411</v>
      </c>
      <c r="N573" s="13">
        <v>2</v>
      </c>
      <c r="O573" s="15"/>
      <c r="P573" s="6">
        <v>40704.932430555556</v>
      </c>
      <c r="Q573" s="12"/>
      <c r="R573" s="17" t="s">
        <v>2359</v>
      </c>
      <c r="S573" s="12"/>
      <c r="T573" s="12"/>
      <c r="U573" s="10" t="str">
        <f>HYPERLINK("https://pbs.twimg.com/profile_images/550428511702233088/iSaer1IQ.jpeg","View")</f>
        <v>View</v>
      </c>
    </row>
    <row r="574" spans="1:21" ht="30.6">
      <c r="A574" s="6">
        <v>43442.00200231481</v>
      </c>
      <c r="B574" s="7" t="str">
        <f>HYPERLINK("https://twitter.com/Druida2011","@Druida2011")</f>
        <v>@Druida2011</v>
      </c>
      <c r="C574" s="8" t="s">
        <v>2360</v>
      </c>
      <c r="D574" s="9" t="s">
        <v>2361</v>
      </c>
      <c r="E574" s="10" t="str">
        <f>HYPERLINK("https://twitter.com/Druida2011/status/1071178258492862465","1071178258492862465")</f>
        <v>1071178258492862465</v>
      </c>
      <c r="F574" s="16" t="s">
        <v>2362</v>
      </c>
      <c r="G574" s="12"/>
      <c r="H574" s="12"/>
      <c r="I574" s="13">
        <v>0</v>
      </c>
      <c r="J574" s="13">
        <v>0</v>
      </c>
      <c r="K574" s="14" t="str">
        <f t="shared" ref="K574:K575" si="101">HYPERLINK("http://twitter.com","Twitter Web Client")</f>
        <v>Twitter Web Client</v>
      </c>
      <c r="L574" s="13">
        <v>140</v>
      </c>
      <c r="M574" s="13">
        <v>90</v>
      </c>
      <c r="N574" s="13">
        <v>9</v>
      </c>
      <c r="O574" s="15"/>
      <c r="P574" s="6">
        <v>41193.949537037035</v>
      </c>
      <c r="Q574" s="12"/>
      <c r="R574" s="17" t="s">
        <v>2363</v>
      </c>
      <c r="S574" s="11" t="s">
        <v>2364</v>
      </c>
      <c r="T574" s="12"/>
      <c r="U574" s="10" t="str">
        <f>HYPERLINK("https://pbs.twimg.com/profile_images/519118139288596482/Vo8q-JaN.jpeg","View")</f>
        <v>View</v>
      </c>
    </row>
    <row r="575" spans="1:21" ht="20.399999999999999">
      <c r="A575" s="6">
        <v>43442.001793981486</v>
      </c>
      <c r="B575" s="7" t="str">
        <f>HYPERLINK("https://twitter.com/los4tiempos","@los4tiempos")</f>
        <v>@los4tiempos</v>
      </c>
      <c r="C575" s="8" t="s">
        <v>2365</v>
      </c>
      <c r="D575" s="9" t="s">
        <v>2366</v>
      </c>
      <c r="E575" s="10" t="str">
        <f>HYPERLINK("https://twitter.com/los4tiempos/status/1071178185558110208","1071178185558110208")</f>
        <v>1071178185558110208</v>
      </c>
      <c r="F575" s="12"/>
      <c r="G575" s="12"/>
      <c r="H575" s="12"/>
      <c r="I575" s="13">
        <v>0</v>
      </c>
      <c r="J575" s="13">
        <v>0</v>
      </c>
      <c r="K575" s="14" t="str">
        <f t="shared" si="101"/>
        <v>Twitter Web Client</v>
      </c>
      <c r="L575" s="13">
        <v>672</v>
      </c>
      <c r="M575" s="13">
        <v>1885</v>
      </c>
      <c r="N575" s="13">
        <v>8</v>
      </c>
      <c r="O575" s="15"/>
      <c r="P575" s="6">
        <v>40726.686689814815</v>
      </c>
      <c r="Q575" s="16" t="s">
        <v>2367</v>
      </c>
      <c r="R575" s="19"/>
      <c r="S575" s="12"/>
      <c r="T575" s="12"/>
      <c r="U575" s="10" t="str">
        <f>HYPERLINK("https://pbs.twimg.com/profile_images/378800000007875161/7fcb5d50a8af1c3d0ebdbe51bd8cc22c.jpeg","View")</f>
        <v>View</v>
      </c>
    </row>
    <row r="576" spans="1:21" ht="30.6">
      <c r="A576" s="6">
        <v>43442.000439814816</v>
      </c>
      <c r="B576" s="7" t="str">
        <f>HYPERLINK("https://twitter.com/josefinalj","@josefinalj")</f>
        <v>@josefinalj</v>
      </c>
      <c r="C576" s="8" t="s">
        <v>2368</v>
      </c>
      <c r="D576" s="9" t="s">
        <v>2369</v>
      </c>
      <c r="E576" s="10" t="str">
        <f>HYPERLINK("https://twitter.com/josefinalj/status/1071177695378190338","1071177695378190338")</f>
        <v>1071177695378190338</v>
      </c>
      <c r="F576" s="11" t="s">
        <v>2370</v>
      </c>
      <c r="G576" s="12"/>
      <c r="H576" s="12"/>
      <c r="I576" s="13">
        <v>0</v>
      </c>
      <c r="J576" s="13">
        <v>0</v>
      </c>
      <c r="K576" s="14" t="str">
        <f>HYPERLINK("http://twitter.com/download/android","Twitter for Android")</f>
        <v>Twitter for Android</v>
      </c>
      <c r="L576" s="13">
        <v>226</v>
      </c>
      <c r="M576" s="13">
        <v>243</v>
      </c>
      <c r="N576" s="13">
        <v>1</v>
      </c>
      <c r="O576" s="15"/>
      <c r="P576" s="6">
        <v>41130.870335648149</v>
      </c>
      <c r="Q576" s="12"/>
      <c r="R576" s="17" t="s">
        <v>2371</v>
      </c>
      <c r="S576" s="11" t="s">
        <v>2372</v>
      </c>
      <c r="T576" s="12"/>
      <c r="U576" s="10" t="str">
        <f>HYPERLINK("https://pbs.twimg.com/profile_images/785017232124411904/HQQ_am3S.jpg","View")</f>
        <v>View</v>
      </c>
    </row>
    <row r="577" spans="1:21" ht="51">
      <c r="A577" s="6">
        <v>43441.997534722221</v>
      </c>
      <c r="B577" s="7" t="str">
        <f>HYPERLINK("https://twitter.com/MarinePondGarde","@MarinePondGarde")</f>
        <v>@MarinePondGarde</v>
      </c>
      <c r="C577" s="8" t="s">
        <v>2373</v>
      </c>
      <c r="D577" s="9" t="s">
        <v>2374</v>
      </c>
      <c r="E577" s="10" t="str">
        <f>HYPERLINK("https://twitter.com/MarinePondGarde/status/1071176640540131329","1071176640540131329")</f>
        <v>1071176640540131329</v>
      </c>
      <c r="F577" s="11" t="s">
        <v>2239</v>
      </c>
      <c r="G577" s="12"/>
      <c r="H577" s="12"/>
      <c r="I577" s="13">
        <v>0</v>
      </c>
      <c r="J577" s="13">
        <v>0</v>
      </c>
      <c r="K577" s="14" t="str">
        <f>HYPERLINK("http://www.facebook.com/twitter","Facebook")</f>
        <v>Facebook</v>
      </c>
      <c r="L577" s="13">
        <v>25</v>
      </c>
      <c r="M577" s="13">
        <v>3</v>
      </c>
      <c r="N577" s="13">
        <v>0</v>
      </c>
      <c r="O577" s="15"/>
      <c r="P577" s="6">
        <v>41254.877129629633</v>
      </c>
      <c r="Q577" s="12"/>
      <c r="R577" s="17" t="s">
        <v>2375</v>
      </c>
      <c r="S577" s="12"/>
      <c r="T577" s="12"/>
      <c r="U577" s="10" t="str">
        <f>HYPERLINK("https://pbs.twimg.com/profile_images/2962653085/d0f16f2a312a2c373e8c5ada04f794bc.png","View")</f>
        <v>View</v>
      </c>
    </row>
    <row r="578" spans="1:21" ht="51">
      <c r="A578" s="6">
        <v>43441.997048611112</v>
      </c>
      <c r="B578" s="7" t="str">
        <f>HYPERLINK("https://twitter.com/Juanma_Gavilan","@Juanma_Gavilan")</f>
        <v>@Juanma_Gavilan</v>
      </c>
      <c r="C578" s="8" t="s">
        <v>2376</v>
      </c>
      <c r="D578" s="9" t="s">
        <v>2377</v>
      </c>
      <c r="E578" s="10" t="str">
        <f>HYPERLINK("https://twitter.com/Juanma_Gavilan/status/1071176467403431937","1071176467403431937")</f>
        <v>1071176467403431937</v>
      </c>
      <c r="F578" s="12"/>
      <c r="G578" s="12"/>
      <c r="H578" s="12"/>
      <c r="I578" s="13">
        <v>0</v>
      </c>
      <c r="J578" s="13">
        <v>0</v>
      </c>
      <c r="K578" s="14" t="str">
        <f t="shared" ref="K578:K579" si="102">HYPERLINK("http://twitter.com/download/android","Twitter for Android")</f>
        <v>Twitter for Android</v>
      </c>
      <c r="L578" s="13">
        <v>397</v>
      </c>
      <c r="M578" s="13">
        <v>329</v>
      </c>
      <c r="N578" s="13">
        <v>16</v>
      </c>
      <c r="O578" s="15"/>
      <c r="P578" s="6">
        <v>40920.588993055557</v>
      </c>
      <c r="Q578" s="16" t="s">
        <v>367</v>
      </c>
      <c r="R578" s="17" t="s">
        <v>2378</v>
      </c>
      <c r="S578" s="12"/>
      <c r="T578" s="12"/>
      <c r="U578" s="10" t="str">
        <f>HYPERLINK("https://pbs.twimg.com/profile_images/1750048328/twitter2.jpg","View")</f>
        <v>View</v>
      </c>
    </row>
    <row r="579" spans="1:21" ht="40.799999999999997">
      <c r="A579" s="6">
        <v>43441.995856481481</v>
      </c>
      <c r="B579" s="7" t="str">
        <f>HYPERLINK("https://twitter.com/ANeiraL","@ANeiraL")</f>
        <v>@ANeiraL</v>
      </c>
      <c r="C579" s="8" t="s">
        <v>1888</v>
      </c>
      <c r="D579" s="9" t="s">
        <v>2379</v>
      </c>
      <c r="E579" s="10" t="str">
        <f>HYPERLINK("https://twitter.com/ANeiraL/status/1071176032848396288","1071176032848396288")</f>
        <v>1071176032848396288</v>
      </c>
      <c r="F579" s="12"/>
      <c r="G579" s="12"/>
      <c r="H579" s="12"/>
      <c r="I579" s="13">
        <v>0</v>
      </c>
      <c r="J579" s="13">
        <v>2</v>
      </c>
      <c r="K579" s="14" t="str">
        <f t="shared" si="102"/>
        <v>Twitter for Android</v>
      </c>
      <c r="L579" s="13">
        <v>853</v>
      </c>
      <c r="M579" s="13">
        <v>505</v>
      </c>
      <c r="N579" s="13">
        <v>33</v>
      </c>
      <c r="O579" s="15"/>
      <c r="P579" s="6">
        <v>40617.489664351851</v>
      </c>
      <c r="Q579" s="16" t="s">
        <v>1891</v>
      </c>
      <c r="R579" s="17" t="s">
        <v>1892</v>
      </c>
      <c r="S579" s="11" t="s">
        <v>1893</v>
      </c>
      <c r="T579" s="12"/>
      <c r="U579" s="10" t="str">
        <f>HYPERLINK("https://pbs.twimg.com/profile_images/1065269341778845696/2w8d-ZcM.jpg","View")</f>
        <v>View</v>
      </c>
    </row>
    <row r="580" spans="1:21" ht="40.799999999999997">
      <c r="A580" s="6">
        <v>43441.994120370371</v>
      </c>
      <c r="B580" s="7" t="str">
        <f>HYPERLINK("https://twitter.com/Norte_00","@Norte_00")</f>
        <v>@Norte_00</v>
      </c>
      <c r="C580" s="8" t="s">
        <v>2380</v>
      </c>
      <c r="D580" s="9" t="s">
        <v>2381</v>
      </c>
      <c r="E580" s="10" t="str">
        <f>HYPERLINK("https://twitter.com/Norte_00/status/1071175402666819584","1071175402666819584")</f>
        <v>1071175402666819584</v>
      </c>
      <c r="F580" s="12"/>
      <c r="G580" s="11" t="s">
        <v>2382</v>
      </c>
      <c r="H580" s="12"/>
      <c r="I580" s="13">
        <v>0</v>
      </c>
      <c r="J580" s="13">
        <v>0</v>
      </c>
      <c r="K580" s="14" t="str">
        <f>HYPERLINK("http://twitter.com","Twitter Web Client")</f>
        <v>Twitter Web Client</v>
      </c>
      <c r="L580" s="13">
        <v>806</v>
      </c>
      <c r="M580" s="13">
        <v>1064</v>
      </c>
      <c r="N580" s="13">
        <v>14</v>
      </c>
      <c r="O580" s="15"/>
      <c r="P580" s="6">
        <v>40672.969155092593</v>
      </c>
      <c r="Q580" s="16" t="s">
        <v>60</v>
      </c>
      <c r="R580" s="17" t="s">
        <v>2383</v>
      </c>
      <c r="S580" s="12"/>
      <c r="T580" s="12"/>
      <c r="U580" s="10" t="str">
        <f>HYPERLINK("https://pbs.twimg.com/profile_images/1360588098/espiral1.jpg","View")</f>
        <v>View</v>
      </c>
    </row>
    <row r="581" spans="1:21" ht="51">
      <c r="A581" s="6">
        <v>43441.993796296301</v>
      </c>
      <c r="B581" s="7" t="str">
        <f>HYPERLINK("https://twitter.com/eventosmadrid","@eventosmadrid")</f>
        <v>@eventosmadrid</v>
      </c>
      <c r="C581" s="8" t="s">
        <v>2290</v>
      </c>
      <c r="D581" s="9" t="s">
        <v>2291</v>
      </c>
      <c r="E581" s="10" t="str">
        <f>HYPERLINK("https://twitter.com/eventosmadrid/status/1071175287017074688","1071175287017074688")</f>
        <v>1071175287017074688</v>
      </c>
      <c r="F581" s="11" t="s">
        <v>2384</v>
      </c>
      <c r="G581" s="11" t="s">
        <v>2385</v>
      </c>
      <c r="H581" s="12"/>
      <c r="I581" s="13">
        <v>0</v>
      </c>
      <c r="J581" s="13">
        <v>1</v>
      </c>
      <c r="K581" s="14" t="str">
        <f>HYPERLINK("https://dlvrit.com/","dlvr.it")</f>
        <v>dlvr.it</v>
      </c>
      <c r="L581" s="13">
        <v>6782</v>
      </c>
      <c r="M581" s="13">
        <v>4865</v>
      </c>
      <c r="N581" s="13">
        <v>237</v>
      </c>
      <c r="O581" s="15"/>
      <c r="P581" s="6">
        <v>40619.348819444444</v>
      </c>
      <c r="Q581" s="16" t="s">
        <v>200</v>
      </c>
      <c r="R581" s="17" t="s">
        <v>2294</v>
      </c>
      <c r="S581" s="12"/>
      <c r="T581" s="12"/>
      <c r="U581" s="10" t="str">
        <f>HYPERLINK("https://pbs.twimg.com/profile_images/1471313774/rock_rio_madrid.jpeg","View")</f>
        <v>View</v>
      </c>
    </row>
    <row r="582" spans="1:21" ht="30.6">
      <c r="A582" s="6">
        <v>43441.992361111115</v>
      </c>
      <c r="B582" s="7" t="str">
        <f>HYPERLINK("https://twitter.com/publico_es","@publico_es")</f>
        <v>@publico_es</v>
      </c>
      <c r="C582" s="8" t="s">
        <v>2386</v>
      </c>
      <c r="D582" s="9" t="s">
        <v>2387</v>
      </c>
      <c r="E582" s="10" t="str">
        <f>HYPERLINK("https://twitter.com/publico_es/status/1071174765891616768","1071174765891616768")</f>
        <v>1071174765891616768</v>
      </c>
      <c r="F582" s="11" t="s">
        <v>2388</v>
      </c>
      <c r="G582" s="12"/>
      <c r="H582" s="12"/>
      <c r="I582" s="13">
        <v>3</v>
      </c>
      <c r="J582" s="13">
        <v>3</v>
      </c>
      <c r="K582" s="14" t="str">
        <f>HYPERLINK("https://about.twitter.com/products/tweetdeck","TweetDeck")</f>
        <v>TweetDeck</v>
      </c>
      <c r="L582" s="13">
        <v>913667</v>
      </c>
      <c r="M582" s="13">
        <v>1457</v>
      </c>
      <c r="N582" s="13">
        <v>14850</v>
      </c>
      <c r="O582" s="18" t="s">
        <v>41</v>
      </c>
      <c r="P582" s="6">
        <v>39779.559525462959</v>
      </c>
      <c r="Q582" s="16" t="s">
        <v>1408</v>
      </c>
      <c r="R582" s="17" t="s">
        <v>2389</v>
      </c>
      <c r="S582" s="11" t="s">
        <v>2390</v>
      </c>
      <c r="T582" s="12"/>
      <c r="U582" s="10" t="str">
        <f>HYPERLINK("https://pbs.twimg.com/profile_images/1048242435682422786/FdzZWHU8.jpg","View")</f>
        <v>View</v>
      </c>
    </row>
    <row r="583" spans="1:21" ht="40.799999999999997">
      <c r="A583" s="6">
        <v>43441.990416666667</v>
      </c>
      <c r="B583" s="7" t="str">
        <f>HYPERLINK("https://twitter.com/Julvilop","@Julvilop")</f>
        <v>@Julvilop</v>
      </c>
      <c r="C583" s="8" t="s">
        <v>2391</v>
      </c>
      <c r="D583" s="9" t="s">
        <v>2392</v>
      </c>
      <c r="E583" s="10" t="str">
        <f>HYPERLINK("https://twitter.com/Julvilop/status/1071174060908908545","1071174060908908545")</f>
        <v>1071174060908908545</v>
      </c>
      <c r="F583" s="11" t="s">
        <v>2393</v>
      </c>
      <c r="G583" s="12"/>
      <c r="H583" s="12"/>
      <c r="I583" s="13">
        <v>0</v>
      </c>
      <c r="J583" s="13">
        <v>0</v>
      </c>
      <c r="K583" s="14" t="str">
        <f>HYPERLINK("http://www.mcrc.es","TweetsJulvilop")</f>
        <v>TweetsJulvilop</v>
      </c>
      <c r="L583" s="13">
        <v>7701</v>
      </c>
      <c r="M583" s="13">
        <v>8478</v>
      </c>
      <c r="N583" s="13">
        <v>33</v>
      </c>
      <c r="O583" s="15"/>
      <c r="P583" s="6">
        <v>41638.756527777776</v>
      </c>
      <c r="Q583" s="16" t="s">
        <v>87</v>
      </c>
      <c r="R583" s="17" t="s">
        <v>2394</v>
      </c>
      <c r="S583" s="11" t="s">
        <v>2395</v>
      </c>
      <c r="T583" s="12"/>
      <c r="U583" s="10" t="str">
        <f>HYPERLINK("https://pbs.twimg.com/profile_images/934430688610258944/PnMKIsV9.jpg","View")</f>
        <v>View</v>
      </c>
    </row>
    <row r="584" spans="1:21" ht="30.6">
      <c r="A584" s="6">
        <v>43441.986111111109</v>
      </c>
      <c r="B584" s="7" t="str">
        <f>HYPERLINK("https://twitter.com/RadioHuancavilk","@RadioHuancavilk")</f>
        <v>@RadioHuancavilk</v>
      </c>
      <c r="C584" s="8" t="s">
        <v>2091</v>
      </c>
      <c r="D584" s="9" t="s">
        <v>2092</v>
      </c>
      <c r="E584" s="10" t="str">
        <f>HYPERLINK("https://twitter.com/RadioHuancavilk/status/1071172501076492288","1071172501076492288")</f>
        <v>1071172501076492288</v>
      </c>
      <c r="F584" s="11" t="s">
        <v>2093</v>
      </c>
      <c r="G584" s="11" t="s">
        <v>2396</v>
      </c>
      <c r="H584" s="12"/>
      <c r="I584" s="13">
        <v>0</v>
      </c>
      <c r="J584" s="13">
        <v>0</v>
      </c>
      <c r="K584" s="14" t="str">
        <f>HYPERLINK("https://about.twitter.com/products/tweetdeck","TweetDeck")</f>
        <v>TweetDeck</v>
      </c>
      <c r="L584" s="13">
        <v>24544</v>
      </c>
      <c r="M584" s="13">
        <v>132</v>
      </c>
      <c r="N584" s="13">
        <v>195</v>
      </c>
      <c r="O584" s="15"/>
      <c r="P584" s="6">
        <v>40735.782557870371</v>
      </c>
      <c r="Q584" s="16" t="s">
        <v>2095</v>
      </c>
      <c r="R584" s="17" t="s">
        <v>2096</v>
      </c>
      <c r="S584" s="11" t="s">
        <v>2097</v>
      </c>
      <c r="T584" s="12"/>
      <c r="U584" s="10" t="str">
        <f>HYPERLINK("https://pbs.twimg.com/profile_images/1018978289006891008/08-mGGQV.jpg","View")</f>
        <v>View</v>
      </c>
    </row>
    <row r="585" spans="1:21" ht="51">
      <c r="A585" s="6">
        <v>43441.983356481476</v>
      </c>
      <c r="B585" s="7" t="str">
        <f>HYPERLINK("https://twitter.com/OrbitaEduardo","@OrbitaEduardo")</f>
        <v>@OrbitaEduardo</v>
      </c>
      <c r="C585" s="8" t="s">
        <v>1562</v>
      </c>
      <c r="D585" s="9" t="s">
        <v>2397</v>
      </c>
      <c r="E585" s="10" t="str">
        <f>HYPERLINK("https://twitter.com/OrbitaEduardo/status/1071171501725024256","1071171501725024256")</f>
        <v>1071171501725024256</v>
      </c>
      <c r="F585" s="12"/>
      <c r="G585" s="11" t="s">
        <v>1958</v>
      </c>
      <c r="H585" s="12"/>
      <c r="I585" s="13">
        <v>131</v>
      </c>
      <c r="J585" s="13">
        <v>104</v>
      </c>
      <c r="K585" s="14" t="str">
        <f t="shared" ref="K585:K587" si="103">HYPERLINK("http://twitter.com/download/android","Twitter for Android")</f>
        <v>Twitter for Android</v>
      </c>
      <c r="L585" s="13">
        <v>4524</v>
      </c>
      <c r="M585" s="13">
        <v>4948</v>
      </c>
      <c r="N585" s="13">
        <v>13</v>
      </c>
      <c r="O585" s="15"/>
      <c r="P585" s="6">
        <v>43110.374305555553</v>
      </c>
      <c r="Q585" s="16" t="s">
        <v>1073</v>
      </c>
      <c r="R585" s="17" t="s">
        <v>1565</v>
      </c>
      <c r="S585" s="12"/>
      <c r="T585" s="12"/>
      <c r="U585" s="10" t="str">
        <f>HYPERLINK("https://pbs.twimg.com/profile_images/1034013666600001538/MmqVJqFc.jpg","View")</f>
        <v>View</v>
      </c>
    </row>
    <row r="586" spans="1:21" ht="40.799999999999997">
      <c r="A586" s="6">
        <v>43441.982800925922</v>
      </c>
      <c r="B586" s="7" t="str">
        <f>HYPERLINK("https://twitter.com/Juan_CarlosESP","@Juan_CarlosESP")</f>
        <v>@Juan_CarlosESP</v>
      </c>
      <c r="C586" s="8" t="s">
        <v>2398</v>
      </c>
      <c r="D586" s="9" t="s">
        <v>2399</v>
      </c>
      <c r="E586" s="10" t="str">
        <f>HYPERLINK("https://twitter.com/Juan_CarlosESP/status/1071171302122315788","1071171302122315788")</f>
        <v>1071171302122315788</v>
      </c>
      <c r="F586" s="11" t="s">
        <v>656</v>
      </c>
      <c r="G586" s="11" t="s">
        <v>657</v>
      </c>
      <c r="H586" s="12"/>
      <c r="I586" s="13">
        <v>0</v>
      </c>
      <c r="J586" s="13">
        <v>0</v>
      </c>
      <c r="K586" s="14" t="str">
        <f t="shared" si="103"/>
        <v>Twitter for Android</v>
      </c>
      <c r="L586" s="13">
        <v>2168</v>
      </c>
      <c r="M586" s="13">
        <v>1877</v>
      </c>
      <c r="N586" s="13">
        <v>41</v>
      </c>
      <c r="O586" s="15"/>
      <c r="P586" s="6">
        <v>40652.774340277778</v>
      </c>
      <c r="Q586" s="16" t="s">
        <v>2400</v>
      </c>
      <c r="R586" s="17" t="s">
        <v>2401</v>
      </c>
      <c r="S586" s="11" t="s">
        <v>2402</v>
      </c>
      <c r="T586" s="12"/>
      <c r="U586" s="10" t="str">
        <f>HYPERLINK("https://pbs.twimg.com/profile_images/1061660233406275584/HhlVaqBN.jpg","View")</f>
        <v>View</v>
      </c>
    </row>
    <row r="587" spans="1:21" ht="30.6">
      <c r="A587" s="6">
        <v>43441.982175925921</v>
      </c>
      <c r="B587" s="7" t="str">
        <f>HYPERLINK("https://twitter.com/GilaHernn","@GilaHernn")</f>
        <v>@GilaHernn</v>
      </c>
      <c r="C587" s="8" t="s">
        <v>2403</v>
      </c>
      <c r="D587" s="9" t="s">
        <v>575</v>
      </c>
      <c r="E587" s="10" t="str">
        <f>HYPERLINK("https://twitter.com/GilaHernn/status/1071171074543575045","1071171074543575045")</f>
        <v>1071171074543575045</v>
      </c>
      <c r="F587" s="11" t="s">
        <v>576</v>
      </c>
      <c r="G587" s="12"/>
      <c r="H587" s="12"/>
      <c r="I587" s="13">
        <v>1</v>
      </c>
      <c r="J587" s="13">
        <v>1</v>
      </c>
      <c r="K587" s="14" t="str">
        <f t="shared" si="103"/>
        <v>Twitter for Android</v>
      </c>
      <c r="L587" s="13">
        <v>2245</v>
      </c>
      <c r="M587" s="13">
        <v>2221</v>
      </c>
      <c r="N587" s="13">
        <v>22</v>
      </c>
      <c r="O587" s="15"/>
      <c r="P587" s="6">
        <v>41621.926724537036</v>
      </c>
      <c r="Q587" s="12"/>
      <c r="R587" s="19"/>
      <c r="S587" s="12"/>
      <c r="T587" s="12"/>
      <c r="U587" s="10" t="str">
        <f>HYPERLINK("https://pbs.twimg.com/profile_images/1071158991672303616/jLQTfiqG.jpg","View")</f>
        <v>View</v>
      </c>
    </row>
    <row r="588" spans="1:21" ht="30.6">
      <c r="A588" s="6">
        <v>43441.978263888886</v>
      </c>
      <c r="B588" s="7" t="str">
        <f>HYPERLINK("https://twitter.com/periodicovzlano","@periodicovzlano")</f>
        <v>@periodicovzlano</v>
      </c>
      <c r="C588" s="8" t="s">
        <v>869</v>
      </c>
      <c r="D588" s="9" t="s">
        <v>714</v>
      </c>
      <c r="E588" s="10" t="str">
        <f>HYPERLINK("https://twitter.com/periodicovzlano/status/1071169656902348800","1071169656902348800")</f>
        <v>1071169656902348800</v>
      </c>
      <c r="F588" s="11" t="s">
        <v>737</v>
      </c>
      <c r="G588" s="11" t="s">
        <v>2404</v>
      </c>
      <c r="H588" s="12"/>
      <c r="I588" s="13">
        <v>0</v>
      </c>
      <c r="J588" s="13">
        <v>0</v>
      </c>
      <c r="K588" s="14" t="str">
        <f>HYPERLINK("http://epmundo.com","Tuiteo TOP EP (1)")</f>
        <v>Tuiteo TOP EP (1)</v>
      </c>
      <c r="L588" s="13">
        <v>479694</v>
      </c>
      <c r="M588" s="13">
        <v>358804</v>
      </c>
      <c r="N588" s="13">
        <v>1295</v>
      </c>
      <c r="O588" s="15"/>
      <c r="P588" s="6">
        <v>40663.3512962963</v>
      </c>
      <c r="Q588" s="16" t="s">
        <v>871</v>
      </c>
      <c r="R588" s="17" t="s">
        <v>872</v>
      </c>
      <c r="S588" s="11" t="s">
        <v>873</v>
      </c>
      <c r="T588" s="12"/>
      <c r="U588" s="10" t="str">
        <f>HYPERLINK("https://pbs.twimg.com/profile_images/958328579250638849/MCz7Q8U6.jpg","View")</f>
        <v>View</v>
      </c>
    </row>
    <row r="589" spans="1:21" ht="40.799999999999997">
      <c r="A589" s="6">
        <v>43441.977824074071</v>
      </c>
      <c r="B589" s="7" t="str">
        <f>HYPERLINK("https://twitter.com/Satmepa","@Satmepa")</f>
        <v>@Satmepa</v>
      </c>
      <c r="C589" s="8" t="s">
        <v>2405</v>
      </c>
      <c r="D589" s="9" t="s">
        <v>1175</v>
      </c>
      <c r="E589" s="10" t="str">
        <f>HYPERLINK("https://twitter.com/Satmepa/status/1071169496830959617","1071169496830959617")</f>
        <v>1071169496830959617</v>
      </c>
      <c r="F589" s="11" t="s">
        <v>1176</v>
      </c>
      <c r="G589" s="12"/>
      <c r="H589" s="12"/>
      <c r="I589" s="13">
        <v>0</v>
      </c>
      <c r="J589" s="13">
        <v>0</v>
      </c>
      <c r="K589" s="14" t="str">
        <f>HYPERLINK("http://twitter.com","Twitter Web Client")</f>
        <v>Twitter Web Client</v>
      </c>
      <c r="L589" s="13">
        <v>125</v>
      </c>
      <c r="M589" s="13">
        <v>216</v>
      </c>
      <c r="N589" s="13">
        <v>7</v>
      </c>
      <c r="O589" s="15"/>
      <c r="P589" s="6">
        <v>40767.936249999999</v>
      </c>
      <c r="Q589" s="16" t="s">
        <v>60</v>
      </c>
      <c r="R589" s="17" t="s">
        <v>2406</v>
      </c>
      <c r="S589" s="11" t="s">
        <v>2407</v>
      </c>
      <c r="T589" s="12"/>
      <c r="U589" s="10" t="str">
        <f>HYPERLINK("https://pbs.twimg.com/profile_images/1492113001/escorpion.jpg","View")</f>
        <v>View</v>
      </c>
    </row>
    <row r="590" spans="1:21" ht="20.399999999999999">
      <c r="A590" s="6">
        <v>43441.977777777778</v>
      </c>
      <c r="B590" s="7" t="str">
        <f>HYPERLINK("https://twitter.com/eldiarioes","@eldiarioes")</f>
        <v>@eldiarioes</v>
      </c>
      <c r="C590" s="20" t="s">
        <v>642</v>
      </c>
      <c r="D590" s="9" t="s">
        <v>2408</v>
      </c>
      <c r="E590" s="10" t="str">
        <f>HYPERLINK("https://twitter.com/eldiarioes/status/1071169481328734210","1071169481328734210")</f>
        <v>1071169481328734210</v>
      </c>
      <c r="F590" s="11" t="s">
        <v>2409</v>
      </c>
      <c r="G590" s="11" t="s">
        <v>2410</v>
      </c>
      <c r="H590" s="12"/>
      <c r="I590" s="13">
        <v>4</v>
      </c>
      <c r="J590" s="13">
        <v>5</v>
      </c>
      <c r="K590" s="14" t="str">
        <f>HYPERLINK("https://about.twitter.com/products/tweetdeck","TweetDeck")</f>
        <v>TweetDeck</v>
      </c>
      <c r="L590" s="13">
        <v>940167</v>
      </c>
      <c r="M590" s="13">
        <v>456</v>
      </c>
      <c r="N590" s="13">
        <v>11262</v>
      </c>
      <c r="O590" s="18" t="s">
        <v>41</v>
      </c>
      <c r="P590" s="6">
        <v>40992.839189814811</v>
      </c>
      <c r="Q590" s="12"/>
      <c r="R590" s="17" t="s">
        <v>643</v>
      </c>
      <c r="S590" s="11" t="s">
        <v>644</v>
      </c>
      <c r="T590" s="12"/>
      <c r="U590" s="10" t="str">
        <f>HYPERLINK("https://pbs.twimg.com/profile_images/1016600645292511232/eYIkIK2s.jpg","View")</f>
        <v>View</v>
      </c>
    </row>
    <row r="591" spans="1:21" ht="51">
      <c r="A591" s="6">
        <v>43441.977662037039</v>
      </c>
      <c r="B591" s="7" t="str">
        <f>HYPERLINK("https://twitter.com/antonioreymata1","@antonioreymata1")</f>
        <v>@antonioreymata1</v>
      </c>
      <c r="C591" s="8" t="s">
        <v>2411</v>
      </c>
      <c r="D591" s="9" t="s">
        <v>2412</v>
      </c>
      <c r="E591" s="10" t="str">
        <f>HYPERLINK("https://twitter.com/antonioreymata1/status/1071169440367214593","1071169440367214593")</f>
        <v>1071169440367214593</v>
      </c>
      <c r="F591" s="12"/>
      <c r="G591" s="12"/>
      <c r="H591" s="12"/>
      <c r="I591" s="13">
        <v>0</v>
      </c>
      <c r="J591" s="13">
        <v>0</v>
      </c>
      <c r="K591" s="14" t="str">
        <f>HYPERLINK("http://twitter.com/download/android","Twitter for Android")</f>
        <v>Twitter for Android</v>
      </c>
      <c r="L591" s="13">
        <v>0</v>
      </c>
      <c r="M591" s="13">
        <v>4</v>
      </c>
      <c r="N591" s="13">
        <v>0</v>
      </c>
      <c r="O591" s="15"/>
      <c r="P591" s="6">
        <v>43234.626932870371</v>
      </c>
      <c r="Q591" s="16" t="s">
        <v>2413</v>
      </c>
      <c r="R591" s="19"/>
      <c r="S591" s="12"/>
      <c r="T591" s="12"/>
      <c r="U591" s="10" t="str">
        <f>HYPERLINK("https://pbs.twimg.com/profile_images/996123096410095617/B_x_NXyC.jpg","View")</f>
        <v>View</v>
      </c>
    </row>
    <row r="592" spans="1:21" ht="40.799999999999997">
      <c r="A592" s="6">
        <v>43441.977511574078</v>
      </c>
      <c r="B592" s="7" t="str">
        <f>HYPERLINK("https://twitter.com/capitan_ja","@capitan_ja")</f>
        <v>@capitan_ja</v>
      </c>
      <c r="C592" s="8" t="s">
        <v>2414</v>
      </c>
      <c r="D592" s="9" t="s">
        <v>2415</v>
      </c>
      <c r="E592" s="10" t="str">
        <f>HYPERLINK("https://twitter.com/capitan_ja/status/1071169383853101057","1071169383853101057")</f>
        <v>1071169383853101057</v>
      </c>
      <c r="F592" s="11" t="s">
        <v>115</v>
      </c>
      <c r="G592" s="12"/>
      <c r="H592" s="12"/>
      <c r="I592" s="13">
        <v>0</v>
      </c>
      <c r="J592" s="13">
        <v>0</v>
      </c>
      <c r="K592" s="14" t="str">
        <f>HYPERLINK("http://twitter.com","Twitter Web Client")</f>
        <v>Twitter Web Client</v>
      </c>
      <c r="L592" s="13">
        <v>1070</v>
      </c>
      <c r="M592" s="13">
        <v>1030</v>
      </c>
      <c r="N592" s="13">
        <v>17</v>
      </c>
      <c r="O592" s="15"/>
      <c r="P592" s="6">
        <v>41107.822650462964</v>
      </c>
      <c r="Q592" s="12"/>
      <c r="R592" s="17" t="s">
        <v>2416</v>
      </c>
      <c r="S592" s="12"/>
      <c r="T592" s="12"/>
      <c r="U592" s="10" t="str">
        <f>HYPERLINK("https://pbs.twimg.com/profile_images/764222146033946624/zeDTzS9-.jpg","View")</f>
        <v>View</v>
      </c>
    </row>
    <row r="593" spans="1:21" ht="40.799999999999997">
      <c r="A593" s="6">
        <v>43441.974409722221</v>
      </c>
      <c r="B593" s="7" t="str">
        <f>HYPERLINK("https://twitter.com/AR_Darta","@AR_Darta")</f>
        <v>@AR_Darta</v>
      </c>
      <c r="C593" s="8" t="s">
        <v>2417</v>
      </c>
      <c r="D593" s="9" t="s">
        <v>2418</v>
      </c>
      <c r="E593" s="10" t="str">
        <f>HYPERLINK("https://twitter.com/AR_Darta/status/1071168260790542336","1071168260790542336")</f>
        <v>1071168260790542336</v>
      </c>
      <c r="F593" s="12"/>
      <c r="G593" s="12"/>
      <c r="H593" s="12"/>
      <c r="I593" s="13">
        <v>0</v>
      </c>
      <c r="J593" s="13">
        <v>0</v>
      </c>
      <c r="K593" s="14" t="str">
        <f>HYPERLINK("http://twitter.com/download/android","Twitter for Android")</f>
        <v>Twitter for Android</v>
      </c>
      <c r="L593" s="13">
        <v>192</v>
      </c>
      <c r="M593" s="13">
        <v>166</v>
      </c>
      <c r="N593" s="13">
        <v>8</v>
      </c>
      <c r="O593" s="15"/>
      <c r="P593" s="6">
        <v>40895.555300925924</v>
      </c>
      <c r="Q593" s="16" t="s">
        <v>2419</v>
      </c>
      <c r="R593" s="17" t="s">
        <v>2420</v>
      </c>
      <c r="S593" s="12"/>
      <c r="T593" s="12"/>
      <c r="U593" s="10" t="str">
        <f>HYPERLINK("https://pbs.twimg.com/profile_images/1003326526887165952/ekPhlqB8.jpg","View")</f>
        <v>View</v>
      </c>
    </row>
    <row r="594" spans="1:21" ht="40.799999999999997">
      <c r="A594" s="6">
        <v>43441.972442129627</v>
      </c>
      <c r="B594" s="7" t="str">
        <f>HYPERLINK("https://twitter.com/Zibelinam","@Zibelinam")</f>
        <v>@Zibelinam</v>
      </c>
      <c r="C594" s="8" t="s">
        <v>1730</v>
      </c>
      <c r="D594" s="9" t="s">
        <v>2421</v>
      </c>
      <c r="E594" s="10" t="str">
        <f>HYPERLINK("https://twitter.com/Zibelinam/status/1071167550111842305","1071167550111842305")</f>
        <v>1071167550111842305</v>
      </c>
      <c r="F594" s="11" t="s">
        <v>2422</v>
      </c>
      <c r="G594" s="12"/>
      <c r="H594" s="12"/>
      <c r="I594" s="13">
        <v>4</v>
      </c>
      <c r="J594" s="13">
        <v>4</v>
      </c>
      <c r="K594" s="14" t="str">
        <f>HYPERLINK("http://twitter.com/download/iphone","Twitter for iPhone")</f>
        <v>Twitter for iPhone</v>
      </c>
      <c r="L594" s="13">
        <v>4133</v>
      </c>
      <c r="M594" s="13">
        <v>4055</v>
      </c>
      <c r="N594" s="13">
        <v>20</v>
      </c>
      <c r="O594" s="15"/>
      <c r="P594" s="6">
        <v>41405.65353009259</v>
      </c>
      <c r="Q594" s="16" t="s">
        <v>1732</v>
      </c>
      <c r="R594" s="17" t="s">
        <v>1733</v>
      </c>
      <c r="S594" s="12"/>
      <c r="T594" s="12"/>
      <c r="U594" s="10" t="str">
        <f>HYPERLINK("https://pbs.twimg.com/profile_images/929426502416027649/07tvgMQf.jpg","View")</f>
        <v>View</v>
      </c>
    </row>
    <row r="595" spans="1:21" ht="30.6">
      <c r="A595" s="6">
        <v>43441.969641203701</v>
      </c>
      <c r="B595" s="7" t="str">
        <f>HYPERLINK("https://twitter.com/LosVerdesGV","@LosVerdesGV")</f>
        <v>@LosVerdesGV</v>
      </c>
      <c r="C595" s="8" t="s">
        <v>2423</v>
      </c>
      <c r="D595" s="9" t="s">
        <v>2424</v>
      </c>
      <c r="E595" s="10" t="str">
        <f>HYPERLINK("https://twitter.com/LosVerdesGV/status/1071166533727076352","1071166533727076352")</f>
        <v>1071166533727076352</v>
      </c>
      <c r="F595" s="11" t="s">
        <v>2425</v>
      </c>
      <c r="G595" s="12"/>
      <c r="H595" s="12"/>
      <c r="I595" s="13">
        <v>0</v>
      </c>
      <c r="J595" s="13">
        <v>0</v>
      </c>
      <c r="K595" s="14" t="str">
        <f>HYPERLINK("http://www.facebook.com/twitter","Facebook")</f>
        <v>Facebook</v>
      </c>
      <c r="L595" s="13">
        <v>682</v>
      </c>
      <c r="M595" s="13">
        <v>98</v>
      </c>
      <c r="N595" s="13">
        <v>13</v>
      </c>
      <c r="O595" s="15"/>
      <c r="P595" s="6">
        <v>40565.638090277775</v>
      </c>
      <c r="Q595" s="16" t="s">
        <v>60</v>
      </c>
      <c r="R595" s="17" t="s">
        <v>2426</v>
      </c>
      <c r="S595" s="11" t="s">
        <v>2427</v>
      </c>
      <c r="T595" s="12"/>
      <c r="U595" s="10" t="str">
        <f>HYPERLINK("https://pbs.twimg.com/profile_images/1500081325/logolvgv.jpg","View")</f>
        <v>View</v>
      </c>
    </row>
    <row r="596" spans="1:21" ht="30.6">
      <c r="A596" s="6">
        <v>43441.968935185185</v>
      </c>
      <c r="B596" s="7" t="str">
        <f>HYPERLINK("https://twitter.com/pallaron12","@pallaron12")</f>
        <v>@pallaron12</v>
      </c>
      <c r="C596" s="8" t="s">
        <v>1692</v>
      </c>
      <c r="D596" s="9" t="s">
        <v>2428</v>
      </c>
      <c r="E596" s="10" t="str">
        <f>HYPERLINK("https://twitter.com/pallaron12/status/1071166276196814848","1071166276196814848")</f>
        <v>1071166276196814848</v>
      </c>
      <c r="F596" s="11" t="s">
        <v>246</v>
      </c>
      <c r="G596" s="12"/>
      <c r="H596" s="12"/>
      <c r="I596" s="13">
        <v>0</v>
      </c>
      <c r="J596" s="13">
        <v>0</v>
      </c>
      <c r="K596" s="14" t="str">
        <f t="shared" ref="K596:K599" si="104">HYPERLINK("http://twitter.com/download/android","Twitter for Android")</f>
        <v>Twitter for Android</v>
      </c>
      <c r="L596" s="13">
        <v>1481</v>
      </c>
      <c r="M596" s="13">
        <v>551</v>
      </c>
      <c r="N596" s="13">
        <v>8</v>
      </c>
      <c r="O596" s="15"/>
      <c r="P596" s="6">
        <v>41854.66134259259</v>
      </c>
      <c r="Q596" s="16" t="s">
        <v>1693</v>
      </c>
      <c r="R596" s="17" t="s">
        <v>1694</v>
      </c>
      <c r="S596" s="12"/>
      <c r="T596" s="12"/>
      <c r="U596" s="10" t="str">
        <f>HYPERLINK("https://pbs.twimg.com/profile_images/1064713832633896961/NkwZ7D9D.jpg","View")</f>
        <v>View</v>
      </c>
    </row>
    <row r="597" spans="1:21" ht="30.6">
      <c r="A597" s="6">
        <v>43441.96607638889</v>
      </c>
      <c r="B597" s="7" t="str">
        <f>HYPERLINK("https://twitter.com/MARIAPerezFern","@MARIAPerezFern")</f>
        <v>@MARIAPerezFern</v>
      </c>
      <c r="C597" s="8" t="s">
        <v>2429</v>
      </c>
      <c r="D597" s="9" t="s">
        <v>2430</v>
      </c>
      <c r="E597" s="10" t="str">
        <f>HYPERLINK("https://twitter.com/MARIAPerezFern/status/1071165240031752192","1071165240031752192")</f>
        <v>1071165240031752192</v>
      </c>
      <c r="F597" s="11" t="s">
        <v>1176</v>
      </c>
      <c r="G597" s="12"/>
      <c r="H597" s="12"/>
      <c r="I597" s="13">
        <v>2</v>
      </c>
      <c r="J597" s="13">
        <v>2</v>
      </c>
      <c r="K597" s="14" t="str">
        <f t="shared" si="104"/>
        <v>Twitter for Android</v>
      </c>
      <c r="L597" s="13">
        <v>2192</v>
      </c>
      <c r="M597" s="13">
        <v>2224</v>
      </c>
      <c r="N597" s="13">
        <v>32</v>
      </c>
      <c r="O597" s="15"/>
      <c r="P597" s="6">
        <v>41458.632418981484</v>
      </c>
      <c r="Q597" s="16" t="s">
        <v>1747</v>
      </c>
      <c r="R597" s="17" t="s">
        <v>2431</v>
      </c>
      <c r="S597" s="12"/>
      <c r="T597" s="12"/>
      <c r="U597" s="10" t="str">
        <f>HYPERLINK("https://pbs.twimg.com/profile_images/1062830273992318976/xCF0muOM.jpg","View")</f>
        <v>View</v>
      </c>
    </row>
    <row r="598" spans="1:21" ht="51">
      <c r="A598" s="6">
        <v>43441.965717592597</v>
      </c>
      <c r="B598" s="7" t="str">
        <f>HYPERLINK("https://twitter.com/JuanHdzp","@JuanHdzp")</f>
        <v>@JuanHdzp</v>
      </c>
      <c r="C598" s="8" t="s">
        <v>2432</v>
      </c>
      <c r="D598" s="9" t="s">
        <v>2433</v>
      </c>
      <c r="E598" s="10" t="str">
        <f>HYPERLINK("https://twitter.com/JuanHdzp/status/1071165111560228865","1071165111560228865")</f>
        <v>1071165111560228865</v>
      </c>
      <c r="F598" s="12"/>
      <c r="G598" s="11" t="s">
        <v>2434</v>
      </c>
      <c r="H598" s="12"/>
      <c r="I598" s="13">
        <v>2</v>
      </c>
      <c r="J598" s="13">
        <v>8</v>
      </c>
      <c r="K598" s="14" t="str">
        <f t="shared" si="104"/>
        <v>Twitter for Android</v>
      </c>
      <c r="L598" s="13">
        <v>356</v>
      </c>
      <c r="M598" s="13">
        <v>251</v>
      </c>
      <c r="N598" s="13">
        <v>3</v>
      </c>
      <c r="O598" s="15"/>
      <c r="P598" s="6">
        <v>41661.637858796297</v>
      </c>
      <c r="Q598" s="12"/>
      <c r="R598" s="17" t="s">
        <v>2435</v>
      </c>
      <c r="S598" s="12"/>
      <c r="T598" s="12"/>
      <c r="U598" s="10" t="str">
        <f>HYPERLINK("https://pbs.twimg.com/profile_images/1059434890494537728/_6Z6S6dA.jpg","View")</f>
        <v>View</v>
      </c>
    </row>
    <row r="599" spans="1:21" ht="40.799999999999997">
      <c r="A599" s="6">
        <v>43441.963275462964</v>
      </c>
      <c r="B599" s="7" t="str">
        <f>HYPERLINK("https://twitter.com/RogerdClari","@RogerdClari")</f>
        <v>@RogerdClari</v>
      </c>
      <c r="C599" s="8" t="s">
        <v>437</v>
      </c>
      <c r="D599" s="9" t="s">
        <v>2436</v>
      </c>
      <c r="E599" s="10" t="str">
        <f>HYPERLINK("https://twitter.com/RogerdClari/status/1071164227820371969","1071164227820371969")</f>
        <v>1071164227820371969</v>
      </c>
      <c r="F599" s="12"/>
      <c r="G599" s="12"/>
      <c r="H599" s="12"/>
      <c r="I599" s="13">
        <v>5</v>
      </c>
      <c r="J599" s="13">
        <v>2</v>
      </c>
      <c r="K599" s="14" t="str">
        <f t="shared" si="104"/>
        <v>Twitter for Android</v>
      </c>
      <c r="L599" s="13">
        <v>2492</v>
      </c>
      <c r="M599" s="13">
        <v>2277</v>
      </c>
      <c r="N599" s="13">
        <v>22</v>
      </c>
      <c r="O599" s="15"/>
      <c r="P599" s="6">
        <v>42115.826782407406</v>
      </c>
      <c r="Q599" s="16" t="s">
        <v>441</v>
      </c>
      <c r="R599" s="17" t="s">
        <v>442</v>
      </c>
      <c r="S599" s="12"/>
      <c r="T599" s="12"/>
      <c r="U599" s="10" t="str">
        <f>HYPERLINK("https://pbs.twimg.com/profile_images/613031209405403136/BCSuUFP-.jpg","View")</f>
        <v>View</v>
      </c>
    </row>
    <row r="600" spans="1:21" ht="20.399999999999999">
      <c r="A600" s="6">
        <v>43441.961898148147</v>
      </c>
      <c r="B600" s="7" t="str">
        <f t="shared" ref="B600:B601" si="105">HYPERLINK("https://twitter.com/LAREVUELO53","@LAREVUELO53")</f>
        <v>@LAREVUELO53</v>
      </c>
      <c r="C600" s="8" t="s">
        <v>2437</v>
      </c>
      <c r="D600" s="9" t="s">
        <v>2438</v>
      </c>
      <c r="E600" s="10" t="str">
        <f>HYPERLINK("https://twitter.com/LAREVUELO53/status/1071163725300883456","1071163725300883456")</f>
        <v>1071163725300883456</v>
      </c>
      <c r="F600" s="11" t="s">
        <v>2439</v>
      </c>
      <c r="G600" s="12"/>
      <c r="H600" s="12"/>
      <c r="I600" s="13">
        <v>0</v>
      </c>
      <c r="J600" s="13">
        <v>0</v>
      </c>
      <c r="K600" s="14" t="str">
        <f t="shared" ref="K600:K601" si="106">HYPERLINK("http://twitter.com","Twitter Web Client")</f>
        <v>Twitter Web Client</v>
      </c>
      <c r="L600" s="13">
        <v>415</v>
      </c>
      <c r="M600" s="13">
        <v>1519</v>
      </c>
      <c r="N600" s="13">
        <v>4</v>
      </c>
      <c r="O600" s="15"/>
      <c r="P600" s="6">
        <v>40681.9059375</v>
      </c>
      <c r="Q600" s="16" t="s">
        <v>1144</v>
      </c>
      <c r="R600" s="19"/>
      <c r="S600" s="11" t="s">
        <v>2440</v>
      </c>
      <c r="T600" s="12"/>
      <c r="U600" s="10" t="str">
        <f t="shared" ref="U600:U601" si="107">HYPERLINK("https://pbs.twimg.com/profile_images/719705597436960769/UB_JVe0J.jpg","View")</f>
        <v>View</v>
      </c>
    </row>
    <row r="601" spans="1:21" ht="20.399999999999999">
      <c r="A601" s="6">
        <v>43441.961180555554</v>
      </c>
      <c r="B601" s="7" t="str">
        <f t="shared" si="105"/>
        <v>@LAREVUELO53</v>
      </c>
      <c r="C601" s="8" t="s">
        <v>2437</v>
      </c>
      <c r="D601" s="9" t="s">
        <v>2441</v>
      </c>
      <c r="E601" s="10" t="str">
        <f>HYPERLINK("https://twitter.com/LAREVUELO53/status/1071163467288199170","1071163467288199170")</f>
        <v>1071163467288199170</v>
      </c>
      <c r="F601" s="11" t="s">
        <v>2442</v>
      </c>
      <c r="G601" s="12"/>
      <c r="H601" s="12"/>
      <c r="I601" s="13">
        <v>0</v>
      </c>
      <c r="J601" s="13">
        <v>0</v>
      </c>
      <c r="K601" s="14" t="str">
        <f t="shared" si="106"/>
        <v>Twitter Web Client</v>
      </c>
      <c r="L601" s="13">
        <v>415</v>
      </c>
      <c r="M601" s="13">
        <v>1519</v>
      </c>
      <c r="N601" s="13">
        <v>4</v>
      </c>
      <c r="O601" s="15"/>
      <c r="P601" s="6">
        <v>40681.9059375</v>
      </c>
      <c r="Q601" s="16" t="s">
        <v>1144</v>
      </c>
      <c r="R601" s="19"/>
      <c r="S601" s="11" t="s">
        <v>2440</v>
      </c>
      <c r="T601" s="12"/>
      <c r="U601" s="10" t="str">
        <f t="shared" si="107"/>
        <v>View</v>
      </c>
    </row>
    <row r="602" spans="1:21" ht="30.6">
      <c r="A602" s="6">
        <v>43441.960601851853</v>
      </c>
      <c r="B602" s="7" t="str">
        <f>HYPERLINK("https://twitter.com/ffbang","@ffbang")</f>
        <v>@ffbang</v>
      </c>
      <c r="C602" s="8" t="s">
        <v>2443</v>
      </c>
      <c r="D602" s="9" t="s">
        <v>1317</v>
      </c>
      <c r="E602" s="10" t="str">
        <f>HYPERLINK("https://twitter.com/ffbang/status/1071163256369278976","1071163256369278976")</f>
        <v>1071163256369278976</v>
      </c>
      <c r="F602" s="11" t="s">
        <v>2444</v>
      </c>
      <c r="G602" s="12"/>
      <c r="H602" s="12"/>
      <c r="I602" s="13">
        <v>0</v>
      </c>
      <c r="J602" s="13">
        <v>0</v>
      </c>
      <c r="K602" s="14" t="str">
        <f>HYPERLINK("http://www.facebook.com/twitter","Facebook")</f>
        <v>Facebook</v>
      </c>
      <c r="L602" s="13">
        <v>73</v>
      </c>
      <c r="M602" s="13">
        <v>132</v>
      </c>
      <c r="N602" s="13">
        <v>5</v>
      </c>
      <c r="O602" s="15"/>
      <c r="P602" s="6">
        <v>40629.902280092589</v>
      </c>
      <c r="Q602" s="16" t="s">
        <v>2445</v>
      </c>
      <c r="R602" s="17" t="s">
        <v>2446</v>
      </c>
      <c r="S602" s="12"/>
      <c r="T602" s="12"/>
      <c r="U602" s="10" t="str">
        <f>HYPERLINK("https://pbs.twimg.com/profile_images/714938582969020416/DJvp7iYY.jpg","View")</f>
        <v>View</v>
      </c>
    </row>
    <row r="603" spans="1:21" ht="30.6">
      <c r="A603" s="6">
        <v>43441.959872685184</v>
      </c>
      <c r="B603" s="7" t="str">
        <f>HYPERLINK("https://twitter.com/nngg_salamanca","@nngg_salamanca")</f>
        <v>@nngg_salamanca</v>
      </c>
      <c r="C603" s="8" t="s">
        <v>2447</v>
      </c>
      <c r="D603" s="9" t="s">
        <v>2448</v>
      </c>
      <c r="E603" s="10" t="str">
        <f>HYPERLINK("https://twitter.com/nngg_salamanca/status/1071162991675146247","1071162991675146247")</f>
        <v>1071162991675146247</v>
      </c>
      <c r="F603" s="11" t="s">
        <v>2449</v>
      </c>
      <c r="G603" s="12"/>
      <c r="H603" s="12"/>
      <c r="I603" s="13">
        <v>0</v>
      </c>
      <c r="J603" s="13">
        <v>0</v>
      </c>
      <c r="K603" s="14" t="str">
        <f>HYPERLINK("http://twitter.com/download/iphone","Twitter for iPhone")</f>
        <v>Twitter for iPhone</v>
      </c>
      <c r="L603" s="13">
        <v>2663</v>
      </c>
      <c r="M603" s="13">
        <v>468</v>
      </c>
      <c r="N603" s="13">
        <v>38</v>
      </c>
      <c r="O603" s="15"/>
      <c r="P603" s="6">
        <v>40216.025567129633</v>
      </c>
      <c r="Q603" s="16" t="s">
        <v>2450</v>
      </c>
      <c r="R603" s="17" t="s">
        <v>2451</v>
      </c>
      <c r="S603" s="11" t="s">
        <v>2452</v>
      </c>
      <c r="T603" s="12"/>
      <c r="U603" s="10" t="str">
        <f>HYPERLINK("https://pbs.twimg.com/profile_images/1053958786354999296/pe3ZEtd2.jpg","View")</f>
        <v>View</v>
      </c>
    </row>
    <row r="604" spans="1:21" ht="20.399999999999999">
      <c r="A604" s="6">
        <v>43441.958333333328</v>
      </c>
      <c r="B604" s="7" t="str">
        <f>HYPERLINK("https://twitter.com/GaliciaMundiari","@GaliciaMundiari")</f>
        <v>@GaliciaMundiari</v>
      </c>
      <c r="C604" s="8" t="s">
        <v>2453</v>
      </c>
      <c r="D604" s="9" t="s">
        <v>2454</v>
      </c>
      <c r="E604" s="10" t="str">
        <f>HYPERLINK("https://twitter.com/GaliciaMundiari/status/1071162436554776577","1071162436554776577")</f>
        <v>1071162436554776577</v>
      </c>
      <c r="F604" s="11" t="s">
        <v>2455</v>
      </c>
      <c r="G604" s="12"/>
      <c r="H604" s="12"/>
      <c r="I604" s="13">
        <v>0</v>
      </c>
      <c r="J604" s="13">
        <v>0</v>
      </c>
      <c r="K604" s="14" t="str">
        <f>HYPERLINK("https://about.twitter.com/products/tweetdeck","TweetDeck")</f>
        <v>TweetDeck</v>
      </c>
      <c r="L604" s="13">
        <v>731</v>
      </c>
      <c r="M604" s="13">
        <v>1487</v>
      </c>
      <c r="N604" s="13">
        <v>31</v>
      </c>
      <c r="O604" s="15"/>
      <c r="P604" s="6">
        <v>41311.572812500002</v>
      </c>
      <c r="Q604" s="16" t="s">
        <v>2456</v>
      </c>
      <c r="R604" s="17" t="s">
        <v>2457</v>
      </c>
      <c r="S604" s="11" t="s">
        <v>2458</v>
      </c>
      <c r="T604" s="12"/>
      <c r="U604" s="10" t="str">
        <f>HYPERLINK("https://pbs.twimg.com/profile_images/983440522390929408/Q4V9I05R.jpg","View")</f>
        <v>View</v>
      </c>
    </row>
    <row r="605" spans="1:21" ht="20.399999999999999">
      <c r="A605" s="6">
        <v>43441.958240740743</v>
      </c>
      <c r="B605" s="7" t="str">
        <f>HYPERLINK("https://twitter.com/LAREVUELO53","@LAREVUELO53")</f>
        <v>@LAREVUELO53</v>
      </c>
      <c r="C605" s="8" t="s">
        <v>2437</v>
      </c>
      <c r="D605" s="9" t="s">
        <v>2459</v>
      </c>
      <c r="E605" s="10" t="str">
        <f>HYPERLINK("https://twitter.com/LAREVUELO53/status/1071162401301647360","1071162401301647360")</f>
        <v>1071162401301647360</v>
      </c>
      <c r="F605" s="11" t="s">
        <v>2460</v>
      </c>
      <c r="G605" s="12"/>
      <c r="H605" s="12"/>
      <c r="I605" s="13">
        <v>0</v>
      </c>
      <c r="J605" s="13">
        <v>0</v>
      </c>
      <c r="K605" s="14" t="str">
        <f t="shared" ref="K605:K608" si="108">HYPERLINK("http://twitter.com","Twitter Web Client")</f>
        <v>Twitter Web Client</v>
      </c>
      <c r="L605" s="13">
        <v>415</v>
      </c>
      <c r="M605" s="13">
        <v>1519</v>
      </c>
      <c r="N605" s="13">
        <v>4</v>
      </c>
      <c r="O605" s="15"/>
      <c r="P605" s="6">
        <v>40681.9059375</v>
      </c>
      <c r="Q605" s="16" t="s">
        <v>1144</v>
      </c>
      <c r="R605" s="19"/>
      <c r="S605" s="11" t="s">
        <v>2440</v>
      </c>
      <c r="T605" s="12"/>
      <c r="U605" s="10" t="str">
        <f>HYPERLINK("https://pbs.twimg.com/profile_images/719705597436960769/UB_JVe0J.jpg","View")</f>
        <v>View</v>
      </c>
    </row>
    <row r="606" spans="1:21" ht="20.399999999999999">
      <c r="A606" s="6">
        <v>43441.945625</v>
      </c>
      <c r="B606" s="7" t="str">
        <f>HYPERLINK("https://twitter.com/juaninunezlara","@juaninunezlara")</f>
        <v>@juaninunezlara</v>
      </c>
      <c r="C606" s="8" t="s">
        <v>1902</v>
      </c>
      <c r="D606" s="9" t="s">
        <v>2461</v>
      </c>
      <c r="E606" s="10" t="str">
        <f>HYPERLINK("https://twitter.com/juaninunezlara/status/1071157831913615360","1071157831913615360")</f>
        <v>1071157831913615360</v>
      </c>
      <c r="F606" s="11" t="s">
        <v>2462</v>
      </c>
      <c r="G606" s="12"/>
      <c r="H606" s="12"/>
      <c r="I606" s="13">
        <v>0</v>
      </c>
      <c r="J606" s="13">
        <v>1</v>
      </c>
      <c r="K606" s="14" t="str">
        <f t="shared" si="108"/>
        <v>Twitter Web Client</v>
      </c>
      <c r="L606" s="13">
        <v>1980</v>
      </c>
      <c r="M606" s="13">
        <v>3177</v>
      </c>
      <c r="N606" s="13">
        <v>17</v>
      </c>
      <c r="O606" s="15"/>
      <c r="P606" s="6">
        <v>40610.039097222223</v>
      </c>
      <c r="Q606" s="12"/>
      <c r="R606" s="17" t="s">
        <v>1905</v>
      </c>
      <c r="S606" s="12"/>
      <c r="T606" s="12"/>
      <c r="U606" s="10" t="str">
        <f>HYPERLINK("https://pbs.twimg.com/profile_images/1040235409534590976/2aG_utbk.jpg","View")</f>
        <v>View</v>
      </c>
    </row>
    <row r="607" spans="1:21" ht="13.2">
      <c r="A607" s="6">
        <v>43441.943993055553</v>
      </c>
      <c r="B607" s="7" t="str">
        <f>HYPERLINK("https://twitter.com/alfons_riba","@alfons_riba")</f>
        <v>@alfons_riba</v>
      </c>
      <c r="C607" s="8" t="s">
        <v>2463</v>
      </c>
      <c r="D607" s="9" t="s">
        <v>2464</v>
      </c>
      <c r="E607" s="10" t="str">
        <f>HYPERLINK("https://twitter.com/alfons_riba/status/1071157238113468416","1071157238113468416")</f>
        <v>1071157238113468416</v>
      </c>
      <c r="F607" s="11" t="s">
        <v>2465</v>
      </c>
      <c r="G607" s="12"/>
      <c r="H607" s="12"/>
      <c r="I607" s="13">
        <v>0</v>
      </c>
      <c r="J607" s="13">
        <v>0</v>
      </c>
      <c r="K607" s="14" t="str">
        <f t="shared" si="108"/>
        <v>Twitter Web Client</v>
      </c>
      <c r="L607" s="13">
        <v>493</v>
      </c>
      <c r="M607" s="13">
        <v>640</v>
      </c>
      <c r="N607" s="13">
        <v>6</v>
      </c>
      <c r="O607" s="15"/>
      <c r="P607" s="6">
        <v>42399.257430555561</v>
      </c>
      <c r="Q607" s="12"/>
      <c r="R607" s="19"/>
      <c r="S607" s="12"/>
      <c r="T607" s="12"/>
      <c r="U607" s="10" t="str">
        <f>HYPERLINK("https://pbs.twimg.com/profile_images/926315934188482561/pjrXXdKC.jpg","View")</f>
        <v>View</v>
      </c>
    </row>
    <row r="608" spans="1:21" ht="20.399999999999999">
      <c r="A608" s="6">
        <v>43441.943668981483</v>
      </c>
      <c r="B608" s="7" t="str">
        <f>HYPERLINK("https://twitter.com/PepitaJ39978396","@PepitaJ39978396")</f>
        <v>@PepitaJ39978396</v>
      </c>
      <c r="C608" s="8" t="s">
        <v>2466</v>
      </c>
      <c r="D608" s="9" t="s">
        <v>1955</v>
      </c>
      <c r="E608" s="10" t="str">
        <f>HYPERLINK("https://twitter.com/PepitaJ39978396/status/1071157119725002752","1071157119725002752")</f>
        <v>1071157119725002752</v>
      </c>
      <c r="F608" s="11" t="s">
        <v>114</v>
      </c>
      <c r="G608" s="12"/>
      <c r="H608" s="12"/>
      <c r="I608" s="13">
        <v>0</v>
      </c>
      <c r="J608" s="13">
        <v>0</v>
      </c>
      <c r="K608" s="14" t="str">
        <f t="shared" si="108"/>
        <v>Twitter Web Client</v>
      </c>
      <c r="L608" s="13">
        <v>111</v>
      </c>
      <c r="M608" s="13">
        <v>122</v>
      </c>
      <c r="N608" s="13">
        <v>0</v>
      </c>
      <c r="O608" s="15"/>
      <c r="P608" s="6">
        <v>43120.943078703705</v>
      </c>
      <c r="Q608" s="16" t="s">
        <v>87</v>
      </c>
      <c r="R608" s="19"/>
      <c r="S608" s="12"/>
      <c r="T608" s="12"/>
      <c r="U608" s="10" t="str">
        <f>HYPERLINK("https://pbs.twimg.com/profile_images/1067909763600658432/jIH7578q.jpg","View")</f>
        <v>View</v>
      </c>
    </row>
    <row r="609" spans="1:21" ht="51">
      <c r="A609" s="6">
        <v>43441.939722222218</v>
      </c>
      <c r="B609" s="7" t="str">
        <f>HYPERLINK("https://twitter.com/pedgalvan","@pedgalvan")</f>
        <v>@pedgalvan</v>
      </c>
      <c r="C609" s="8" t="s">
        <v>2467</v>
      </c>
      <c r="D609" s="9" t="s">
        <v>2468</v>
      </c>
      <c r="E609" s="10" t="str">
        <f>HYPERLINK("https://twitter.com/pedgalvan/status/1071155691778465793","1071155691778465793")</f>
        <v>1071155691778465793</v>
      </c>
      <c r="F609" s="12"/>
      <c r="G609" s="12"/>
      <c r="H609" s="12"/>
      <c r="I609" s="13">
        <v>0</v>
      </c>
      <c r="J609" s="13">
        <v>0</v>
      </c>
      <c r="K609" s="14" t="str">
        <f>HYPERLINK("http://twitter.com/download/android","Twitter for Android")</f>
        <v>Twitter for Android</v>
      </c>
      <c r="L609" s="13">
        <v>994</v>
      </c>
      <c r="M609" s="13">
        <v>1755</v>
      </c>
      <c r="N609" s="13">
        <v>23</v>
      </c>
      <c r="O609" s="15"/>
      <c r="P609" s="6">
        <v>41300.021585648152</v>
      </c>
      <c r="Q609" s="12"/>
      <c r="R609" s="17" t="s">
        <v>2469</v>
      </c>
      <c r="S609" s="11" t="s">
        <v>2470</v>
      </c>
      <c r="T609" s="12"/>
      <c r="U609" s="10" t="str">
        <f>HYPERLINK("https://pbs.twimg.com/profile_images/1071043461850243073/PSoxpQz6.jpg","View")</f>
        <v>View</v>
      </c>
    </row>
    <row r="610" spans="1:21" ht="71.400000000000006">
      <c r="A610" s="6">
        <v>43441.939618055556</v>
      </c>
      <c r="B610" s="7" t="str">
        <f>HYPERLINK("https://twitter.com/gugyhydGir","@gugyhydGir")</f>
        <v>@gugyhydGir</v>
      </c>
      <c r="C610" s="8" t="s">
        <v>2471</v>
      </c>
      <c r="D610" s="9" t="s">
        <v>2472</v>
      </c>
      <c r="E610" s="10" t="str">
        <f>HYPERLINK("https://twitter.com/gugyhydGir/status/1071155654700593152","1071155654700593152")</f>
        <v>1071155654700593152</v>
      </c>
      <c r="F610" s="11" t="s">
        <v>2473</v>
      </c>
      <c r="G610" s="11" t="s">
        <v>2474</v>
      </c>
      <c r="H610" s="12"/>
      <c r="I610" s="13">
        <v>0</v>
      </c>
      <c r="J610" s="13">
        <v>0</v>
      </c>
      <c r="K610" s="14" t="str">
        <f>HYPERLINK("https://dlvrit.com/","dlvr.it")</f>
        <v>dlvr.it</v>
      </c>
      <c r="L610" s="13">
        <v>7</v>
      </c>
      <c r="M610" s="13">
        <v>0</v>
      </c>
      <c r="N610" s="13">
        <v>0</v>
      </c>
      <c r="O610" s="15"/>
      <c r="P610" s="6">
        <v>41891.936562499999</v>
      </c>
      <c r="Q610" s="16" t="s">
        <v>2475</v>
      </c>
      <c r="R610" s="17" t="s">
        <v>2476</v>
      </c>
      <c r="S610" s="11" t="s">
        <v>2477</v>
      </c>
      <c r="T610" s="12"/>
      <c r="U610" s="10" t="str">
        <f>HYPERLINK("https://pbs.twimg.com/profile_images/802911495097040896/rAwaOrmD.jpg","View")</f>
        <v>View</v>
      </c>
    </row>
    <row r="611" spans="1:21" ht="40.799999999999997">
      <c r="A611" s="6">
        <v>43441.938981481479</v>
      </c>
      <c r="B611" s="7" t="str">
        <f>HYPERLINK("https://twitter.com/jsigonzalez112","@jsigonzalez112")</f>
        <v>@jsigonzalez112</v>
      </c>
      <c r="C611" s="8" t="s">
        <v>2478</v>
      </c>
      <c r="D611" s="9" t="s">
        <v>2479</v>
      </c>
      <c r="E611" s="10" t="str">
        <f>HYPERLINK("https://twitter.com/jsigonzalez112/status/1071155422038540289","1071155422038540289")</f>
        <v>1071155422038540289</v>
      </c>
      <c r="F611" s="11" t="s">
        <v>1176</v>
      </c>
      <c r="G611" s="12"/>
      <c r="H611" s="12"/>
      <c r="I611" s="13">
        <v>0</v>
      </c>
      <c r="J611" s="13">
        <v>0</v>
      </c>
      <c r="K611" s="14" t="str">
        <f>HYPERLINK("http://twitter.com/download/android","Twitter for Android")</f>
        <v>Twitter for Android</v>
      </c>
      <c r="L611" s="13">
        <v>45</v>
      </c>
      <c r="M611" s="13">
        <v>84</v>
      </c>
      <c r="N611" s="13">
        <v>8</v>
      </c>
      <c r="O611" s="15"/>
      <c r="P611" s="6">
        <v>42476.754444444443</v>
      </c>
      <c r="Q611" s="12"/>
      <c r="R611" s="17" t="s">
        <v>2480</v>
      </c>
      <c r="S611" s="12"/>
      <c r="T611" s="12"/>
      <c r="U611" s="10" t="str">
        <f>HYPERLINK("https://pbs.twimg.com/profile_images/723118679098044416/Lf7QzuLr.jpg","View")</f>
        <v>View</v>
      </c>
    </row>
    <row r="612" spans="1:21" ht="20.399999999999999">
      <c r="A612" s="6">
        <v>43441.938807870371</v>
      </c>
      <c r="B612" s="7" t="str">
        <f>HYPERLINK("https://twitter.com/KALERGIPLAN3","@KALERGIPLAN3")</f>
        <v>@KALERGIPLAN3</v>
      </c>
      <c r="C612" s="8" t="s">
        <v>2481</v>
      </c>
      <c r="D612" s="9" t="s">
        <v>2482</v>
      </c>
      <c r="E612" s="10" t="str">
        <f>HYPERLINK("https://twitter.com/KALERGIPLAN3/status/1071155360260603904","1071155360260603904")</f>
        <v>1071155360260603904</v>
      </c>
      <c r="F612" s="11" t="s">
        <v>2483</v>
      </c>
      <c r="G612" s="12"/>
      <c r="H612" s="12"/>
      <c r="I612" s="13">
        <v>1</v>
      </c>
      <c r="J612" s="13">
        <v>0</v>
      </c>
      <c r="K612" s="14" t="str">
        <f>HYPERLINK("http://twitter.com","Twitter Web Client")</f>
        <v>Twitter Web Client</v>
      </c>
      <c r="L612" s="13">
        <v>759</v>
      </c>
      <c r="M612" s="13">
        <v>1224</v>
      </c>
      <c r="N612" s="13">
        <v>4</v>
      </c>
      <c r="O612" s="15"/>
      <c r="P612" s="6">
        <v>43126.55405092593</v>
      </c>
      <c r="Q612" s="16" t="s">
        <v>2484</v>
      </c>
      <c r="R612" s="17" t="s">
        <v>2485</v>
      </c>
      <c r="S612" s="12"/>
      <c r="T612" s="12"/>
      <c r="U612" s="10" t="str">
        <f>HYPERLINK("https://pbs.twimg.com/profile_images/957285491707121664/UefjbD3b.jpg","View")</f>
        <v>View</v>
      </c>
    </row>
    <row r="613" spans="1:21" ht="30.6">
      <c r="A613" s="6">
        <v>43441.937916666662</v>
      </c>
      <c r="B613" s="7" t="str">
        <f>HYPERLINK("https://twitter.com/opicanal","@opicanal")</f>
        <v>@opicanal</v>
      </c>
      <c r="C613" s="8" t="s">
        <v>1646</v>
      </c>
      <c r="D613" s="9" t="s">
        <v>2486</v>
      </c>
      <c r="E613" s="10" t="str">
        <f>HYPERLINK("https://twitter.com/opicanal/status/1071155035298516992","1071155035298516992")</f>
        <v>1071155035298516992</v>
      </c>
      <c r="F613" s="12"/>
      <c r="G613" s="12"/>
      <c r="H613" s="12"/>
      <c r="I613" s="13">
        <v>0</v>
      </c>
      <c r="J613" s="13">
        <v>1</v>
      </c>
      <c r="K613" s="14" t="str">
        <f t="shared" ref="K613:K614" si="109">HYPERLINK("http://twitter.com/download/android","Twitter for Android")</f>
        <v>Twitter for Android</v>
      </c>
      <c r="L613" s="13">
        <v>353</v>
      </c>
      <c r="M613" s="13">
        <v>367</v>
      </c>
      <c r="N613" s="13">
        <v>2</v>
      </c>
      <c r="O613" s="15"/>
      <c r="P613" s="6">
        <v>42964.989699074074</v>
      </c>
      <c r="Q613" s="16" t="s">
        <v>60</v>
      </c>
      <c r="R613" s="17" t="s">
        <v>1650</v>
      </c>
      <c r="S613" s="12"/>
      <c r="T613" s="12"/>
      <c r="U613" s="10" t="str">
        <f>HYPERLINK("https://pbs.twimg.com/profile_images/951585483875897344/9UAy_-li.jpg","View")</f>
        <v>View</v>
      </c>
    </row>
    <row r="614" spans="1:21" ht="13.2">
      <c r="A614" s="6">
        <v>43441.937847222223</v>
      </c>
      <c r="B614" s="7" t="str">
        <f>HYPERLINK("https://twitter.com/J_Garabito","@J_Garabito")</f>
        <v>@J_Garabito</v>
      </c>
      <c r="C614" s="8" t="s">
        <v>2487</v>
      </c>
      <c r="D614" s="9" t="s">
        <v>2488</v>
      </c>
      <c r="E614" s="10" t="str">
        <f>HYPERLINK("https://twitter.com/J_Garabito/status/1071155010644381696","1071155010644381696")</f>
        <v>1071155010644381696</v>
      </c>
      <c r="F614" s="12"/>
      <c r="G614" s="11" t="s">
        <v>2489</v>
      </c>
      <c r="H614" s="12"/>
      <c r="I614" s="13">
        <v>0</v>
      </c>
      <c r="J614" s="13">
        <v>0</v>
      </c>
      <c r="K614" s="14" t="str">
        <f t="shared" si="109"/>
        <v>Twitter for Android</v>
      </c>
      <c r="L614" s="13">
        <v>335</v>
      </c>
      <c r="M614" s="13">
        <v>1374</v>
      </c>
      <c r="N614" s="13">
        <v>2</v>
      </c>
      <c r="O614" s="15"/>
      <c r="P614" s="6">
        <v>42231.666909722218</v>
      </c>
      <c r="Q614" s="12"/>
      <c r="R614" s="19"/>
      <c r="S614" s="12"/>
      <c r="T614" s="12"/>
      <c r="U614" s="10" t="str">
        <f>HYPERLINK("https://pbs.twimg.com/profile_images/833754186542088193/yTJdCE2R.jpg","View")</f>
        <v>View</v>
      </c>
    </row>
    <row r="615" spans="1:21" ht="51">
      <c r="A615" s="6">
        <v>43441.936944444446</v>
      </c>
      <c r="B615" s="7" t="str">
        <f>HYPERLINK("https://twitter.com/davidvanesa4","@davidvanesa4")</f>
        <v>@davidvanesa4</v>
      </c>
      <c r="C615" s="8" t="s">
        <v>2041</v>
      </c>
      <c r="D615" s="9" t="s">
        <v>2490</v>
      </c>
      <c r="E615" s="10" t="str">
        <f>HYPERLINK("https://twitter.com/davidvanesa4/status/1071154685975949313","1071154685975949313")</f>
        <v>1071154685975949313</v>
      </c>
      <c r="F615" s="11" t="s">
        <v>1660</v>
      </c>
      <c r="G615" s="12"/>
      <c r="H615" s="12"/>
      <c r="I615" s="13">
        <v>0</v>
      </c>
      <c r="J615" s="13">
        <v>0</v>
      </c>
      <c r="K615" s="14" t="str">
        <f>HYPERLINK("http://twitter.com/download/iphone","Twitter for iPhone")</f>
        <v>Twitter for iPhone</v>
      </c>
      <c r="L615" s="13">
        <v>72</v>
      </c>
      <c r="M615" s="13">
        <v>68</v>
      </c>
      <c r="N615" s="13">
        <v>0</v>
      </c>
      <c r="O615" s="15"/>
      <c r="P615" s="6">
        <v>41972.823831018519</v>
      </c>
      <c r="Q615" s="12"/>
      <c r="R615" s="19"/>
      <c r="S615" s="12"/>
      <c r="T615" s="12"/>
      <c r="U615" s="10" t="str">
        <f>HYPERLINK("https://pbs.twimg.com/profile_images/993840849971761152/JMCpRxqY.jpg","View")</f>
        <v>View</v>
      </c>
    </row>
    <row r="616" spans="1:21" ht="20.399999999999999">
      <c r="A616" s="6">
        <v>43441.93686342593</v>
      </c>
      <c r="B616" s="7" t="str">
        <f>HYPERLINK("https://twitter.com/benimola60","@benimola60")</f>
        <v>@benimola60</v>
      </c>
      <c r="C616" s="8" t="s">
        <v>2491</v>
      </c>
      <c r="D616" s="9" t="s">
        <v>2492</v>
      </c>
      <c r="E616" s="10" t="str">
        <f>HYPERLINK("https://twitter.com/benimola60/status/1071154655210758144","1071154655210758144")</f>
        <v>1071154655210758144</v>
      </c>
      <c r="F616" s="12"/>
      <c r="G616" s="12"/>
      <c r="H616" s="12"/>
      <c r="I616" s="13">
        <v>0</v>
      </c>
      <c r="J616" s="13">
        <v>1</v>
      </c>
      <c r="K616" s="14" t="str">
        <f t="shared" ref="K616:K617" si="110">HYPERLINK("http://twitter.com/download/android","Twitter for Android")</f>
        <v>Twitter for Android</v>
      </c>
      <c r="L616" s="13">
        <v>783</v>
      </c>
      <c r="M616" s="13">
        <v>1847</v>
      </c>
      <c r="N616" s="13">
        <v>2</v>
      </c>
      <c r="O616" s="15"/>
      <c r="P616" s="6">
        <v>40577.670844907407</v>
      </c>
      <c r="Q616" s="16" t="s">
        <v>2493</v>
      </c>
      <c r="R616" s="17" t="s">
        <v>2494</v>
      </c>
      <c r="S616" s="12"/>
      <c r="T616" s="12"/>
      <c r="U616" s="10" t="str">
        <f>HYPERLINK("https://pbs.twimg.com/profile_images/499275765641248768/Wj2jszuH.jpeg","View")</f>
        <v>View</v>
      </c>
    </row>
    <row r="617" spans="1:21" ht="20.399999999999999">
      <c r="A617" s="6">
        <v>43441.936249999999</v>
      </c>
      <c r="B617" s="7" t="str">
        <f>HYPERLINK("https://twitter.com/LaurenArenos","@LaurenArenos")</f>
        <v>@LaurenArenos</v>
      </c>
      <c r="C617" s="8" t="s">
        <v>2495</v>
      </c>
      <c r="D617" s="9" t="s">
        <v>2496</v>
      </c>
      <c r="E617" s="10" t="str">
        <f>HYPERLINK("https://twitter.com/LaurenArenos/status/1071154433382383616","1071154433382383616")</f>
        <v>1071154433382383616</v>
      </c>
      <c r="F617" s="11" t="s">
        <v>1176</v>
      </c>
      <c r="G617" s="12"/>
      <c r="H617" s="12"/>
      <c r="I617" s="13">
        <v>0</v>
      </c>
      <c r="J617" s="13">
        <v>0</v>
      </c>
      <c r="K617" s="14" t="str">
        <f t="shared" si="110"/>
        <v>Twitter for Android</v>
      </c>
      <c r="L617" s="13">
        <v>874</v>
      </c>
      <c r="M617" s="13">
        <v>1242</v>
      </c>
      <c r="N617" s="13">
        <v>0</v>
      </c>
      <c r="O617" s="15"/>
      <c r="P617" s="6">
        <v>43268.977326388893</v>
      </c>
      <c r="Q617" s="12"/>
      <c r="R617" s="17" t="s">
        <v>2497</v>
      </c>
      <c r="S617" s="12"/>
      <c r="T617" s="12"/>
      <c r="U617" s="10" t="str">
        <f>HYPERLINK("https://pbs.twimg.com/profile_images/1008462268663828480/RBvgbkmL.jpg","View")</f>
        <v>View</v>
      </c>
    </row>
    <row r="618" spans="1:21" ht="51">
      <c r="A618" s="6">
        <v>43441.935578703706</v>
      </c>
      <c r="B618" s="7" t="str">
        <f>HYPERLINK("https://twitter.com/davidvanesa4","@davidvanesa4")</f>
        <v>@davidvanesa4</v>
      </c>
      <c r="C618" s="8" t="s">
        <v>2041</v>
      </c>
      <c r="D618" s="9" t="s">
        <v>2498</v>
      </c>
      <c r="E618" s="10" t="str">
        <f>HYPERLINK("https://twitter.com/davidvanesa4/status/1071154188602826752","1071154188602826752")</f>
        <v>1071154188602826752</v>
      </c>
      <c r="F618" s="11" t="s">
        <v>1660</v>
      </c>
      <c r="G618" s="12"/>
      <c r="H618" s="12"/>
      <c r="I618" s="13">
        <v>0</v>
      </c>
      <c r="J618" s="13">
        <v>0</v>
      </c>
      <c r="K618" s="14" t="str">
        <f>HYPERLINK("http://twitter.com/download/iphone","Twitter for iPhone")</f>
        <v>Twitter for iPhone</v>
      </c>
      <c r="L618" s="13">
        <v>72</v>
      </c>
      <c r="M618" s="13">
        <v>68</v>
      </c>
      <c r="N618" s="13">
        <v>0</v>
      </c>
      <c r="O618" s="15"/>
      <c r="P618" s="6">
        <v>41972.823831018519</v>
      </c>
      <c r="Q618" s="12"/>
      <c r="R618" s="19"/>
      <c r="S618" s="12"/>
      <c r="T618" s="12"/>
      <c r="U618" s="10" t="str">
        <f>HYPERLINK("https://pbs.twimg.com/profile_images/993840849971761152/JMCpRxqY.jpg","View")</f>
        <v>View</v>
      </c>
    </row>
    <row r="619" spans="1:21" ht="30.6">
      <c r="A619" s="6">
        <v>43441.935300925921</v>
      </c>
      <c r="B619" s="7" t="str">
        <f>HYPERLINK("https://twitter.com/rominaroy23","@rominaroy23")</f>
        <v>@rominaroy23</v>
      </c>
      <c r="C619" s="8" t="s">
        <v>2499</v>
      </c>
      <c r="D619" s="9" t="s">
        <v>1175</v>
      </c>
      <c r="E619" s="10" t="str">
        <f>HYPERLINK("https://twitter.com/rominaroy23/status/1071154088614744066","1071154088614744066")</f>
        <v>1071154088614744066</v>
      </c>
      <c r="F619" s="11" t="s">
        <v>1176</v>
      </c>
      <c r="G619" s="12"/>
      <c r="H619" s="12"/>
      <c r="I619" s="13">
        <v>0</v>
      </c>
      <c r="J619" s="13">
        <v>0</v>
      </c>
      <c r="K619" s="14" t="str">
        <f t="shared" ref="K619:K620" si="111">HYPERLINK("http://twitter.com/download/android","Twitter for Android")</f>
        <v>Twitter for Android</v>
      </c>
      <c r="L619" s="13">
        <v>530</v>
      </c>
      <c r="M619" s="13">
        <v>337</v>
      </c>
      <c r="N619" s="13">
        <v>12</v>
      </c>
      <c r="O619" s="15"/>
      <c r="P619" s="6">
        <v>41838.600868055553</v>
      </c>
      <c r="Q619" s="12"/>
      <c r="R619" s="17" t="s">
        <v>2500</v>
      </c>
      <c r="S619" s="12"/>
      <c r="T619" s="12"/>
      <c r="U619" s="10" t="str">
        <f>HYPERLINK("https://pbs.twimg.com/profile_images/490119867425492992/FCWyt0YH.jpeg","View")</f>
        <v>View</v>
      </c>
    </row>
    <row r="620" spans="1:21" ht="30.6">
      <c r="A620" s="6">
        <v>43441.934039351851</v>
      </c>
      <c r="B620" s="7" t="str">
        <f>HYPERLINK("https://twitter.com/MariaCalleSanti","@MariaCalleSanti")</f>
        <v>@MariaCalleSanti</v>
      </c>
      <c r="C620" s="8" t="s">
        <v>1390</v>
      </c>
      <c r="D620" s="9" t="s">
        <v>2501</v>
      </c>
      <c r="E620" s="10" t="str">
        <f>HYPERLINK("https://twitter.com/MariaCalleSanti/status/1071153632215777280","1071153632215777280")</f>
        <v>1071153632215777280</v>
      </c>
      <c r="F620" s="11" t="s">
        <v>2502</v>
      </c>
      <c r="G620" s="12"/>
      <c r="H620" s="12"/>
      <c r="I620" s="13">
        <v>0</v>
      </c>
      <c r="J620" s="13">
        <v>0</v>
      </c>
      <c r="K620" s="14" t="str">
        <f t="shared" si="111"/>
        <v>Twitter for Android</v>
      </c>
      <c r="L620" s="13">
        <v>4349</v>
      </c>
      <c r="M620" s="13">
        <v>4713</v>
      </c>
      <c r="N620" s="13">
        <v>106</v>
      </c>
      <c r="O620" s="15"/>
      <c r="P620" s="6">
        <v>40713.848495370374</v>
      </c>
      <c r="Q620" s="16" t="s">
        <v>200</v>
      </c>
      <c r="R620" s="17" t="s">
        <v>1391</v>
      </c>
      <c r="S620" s="12"/>
      <c r="T620" s="12"/>
      <c r="U620" s="10" t="str">
        <f>HYPERLINK("https://pbs.twimg.com/profile_images/1071167899086319616/UyXjMhdz.jpg","View")</f>
        <v>View</v>
      </c>
    </row>
    <row r="621" spans="1:21" ht="40.799999999999997">
      <c r="A621" s="6">
        <v>43441.933182870373</v>
      </c>
      <c r="B621" s="7" t="str">
        <f>HYPERLINK("https://twitter.com/enriquedediegov","@enriquedediegov")</f>
        <v>@enriquedediegov</v>
      </c>
      <c r="C621" s="8" t="s">
        <v>2503</v>
      </c>
      <c r="D621" s="9" t="s">
        <v>2504</v>
      </c>
      <c r="E621" s="10" t="str">
        <f>HYPERLINK("https://twitter.com/enriquedediegov/status/1071153320490876928","1071153320490876928")</f>
        <v>1071153320490876928</v>
      </c>
      <c r="F621" s="12"/>
      <c r="G621" s="12"/>
      <c r="H621" s="12"/>
      <c r="I621" s="13">
        <v>3</v>
      </c>
      <c r="J621" s="13">
        <v>7</v>
      </c>
      <c r="K621" s="14" t="str">
        <f>HYPERLINK("http://twitter.com","Twitter Web Client")</f>
        <v>Twitter Web Client</v>
      </c>
      <c r="L621" s="13">
        <v>7792</v>
      </c>
      <c r="M621" s="13">
        <v>6053</v>
      </c>
      <c r="N621" s="13">
        <v>179</v>
      </c>
      <c r="O621" s="15"/>
      <c r="P621" s="6">
        <v>41293.717129629629</v>
      </c>
      <c r="Q621" s="16" t="s">
        <v>60</v>
      </c>
      <c r="R621" s="17" t="s">
        <v>2505</v>
      </c>
      <c r="S621" s="11" t="s">
        <v>2506</v>
      </c>
      <c r="T621" s="12"/>
      <c r="U621" s="10" t="str">
        <f>HYPERLINK("https://pbs.twimg.com/profile_images/3129623790/4ae197d01442e05dee4622297c3b9642.jpeg","View")</f>
        <v>View</v>
      </c>
    </row>
    <row r="622" spans="1:21" ht="30.6">
      <c r="A622" s="6">
        <v>43441.931157407409</v>
      </c>
      <c r="B622" s="7" t="str">
        <f>HYPERLINK("https://twitter.com/Mabe_Fer_","@Mabe_Fer_")</f>
        <v>@Mabe_Fer_</v>
      </c>
      <c r="C622" s="8" t="s">
        <v>2507</v>
      </c>
      <c r="D622" s="9" t="s">
        <v>2508</v>
      </c>
      <c r="E622" s="10" t="str">
        <f>HYPERLINK("https://twitter.com/Mabe_Fer_/status/1071152585661390853","1071152585661390853")</f>
        <v>1071152585661390853</v>
      </c>
      <c r="F622" s="11" t="s">
        <v>2509</v>
      </c>
      <c r="G622" s="12"/>
      <c r="H622" s="12"/>
      <c r="I622" s="13">
        <v>0</v>
      </c>
      <c r="J622" s="13">
        <v>0</v>
      </c>
      <c r="K622" s="14" t="str">
        <f>HYPERLINK("http://twitter.com/download/android","Twitter for Android")</f>
        <v>Twitter for Android</v>
      </c>
      <c r="L622" s="13">
        <v>384</v>
      </c>
      <c r="M622" s="13">
        <v>254</v>
      </c>
      <c r="N622" s="13">
        <v>0</v>
      </c>
      <c r="O622" s="15"/>
      <c r="P622" s="6">
        <v>43237.386134259257</v>
      </c>
      <c r="Q622" s="16" t="s">
        <v>2510</v>
      </c>
      <c r="R622" s="17" t="s">
        <v>2511</v>
      </c>
      <c r="S622" s="12"/>
      <c r="T622" s="12"/>
      <c r="U622" s="10" t="str">
        <f>HYPERLINK("https://pbs.twimg.com/profile_images/1063816291390316544/8Ae4B9b0.jpg","View")</f>
        <v>View</v>
      </c>
    </row>
    <row r="623" spans="1:21" ht="91.8">
      <c r="A623" s="6">
        <v>43441.93069444444</v>
      </c>
      <c r="B623" s="7" t="str">
        <f>HYPERLINK("https://twitter.com/gaab75","@gaab75")</f>
        <v>@gaab75</v>
      </c>
      <c r="C623" s="8" t="s">
        <v>2512</v>
      </c>
      <c r="D623" s="9" t="s">
        <v>2513</v>
      </c>
      <c r="E623" s="10" t="str">
        <f>HYPERLINK("https://twitter.com/gaab75/status/1071152417876729857","1071152417876729857")</f>
        <v>1071152417876729857</v>
      </c>
      <c r="F623" s="11" t="s">
        <v>2514</v>
      </c>
      <c r="G623" s="12"/>
      <c r="H623" s="12"/>
      <c r="I623" s="13">
        <v>1</v>
      </c>
      <c r="J623" s="13">
        <v>1</v>
      </c>
      <c r="K623" s="14" t="str">
        <f t="shared" ref="K623:K624" si="112">HYPERLINK("http://twitter.com","Twitter Web Client")</f>
        <v>Twitter Web Client</v>
      </c>
      <c r="L623" s="13">
        <v>3602</v>
      </c>
      <c r="M623" s="13">
        <v>1550</v>
      </c>
      <c r="N623" s="13">
        <v>98</v>
      </c>
      <c r="O623" s="15"/>
      <c r="P623" s="6">
        <v>40128.955196759256</v>
      </c>
      <c r="Q623" s="16" t="s">
        <v>2025</v>
      </c>
      <c r="R623" s="17" t="s">
        <v>2515</v>
      </c>
      <c r="S623" s="11" t="s">
        <v>2516</v>
      </c>
      <c r="T623" s="12"/>
      <c r="U623" s="10" t="str">
        <f>HYPERLINK("https://pbs.twimg.com/profile_images/958087622638948354/Nn7-v7sP.jpg","View")</f>
        <v>View</v>
      </c>
    </row>
    <row r="624" spans="1:21" ht="81.599999999999994">
      <c r="A624" s="6">
        <v>43441.92805555556</v>
      </c>
      <c r="B624" s="7" t="str">
        <f>HYPERLINK("https://twitter.com/RosaMSJ2","@RosaMSJ2")</f>
        <v>@RosaMSJ2</v>
      </c>
      <c r="C624" s="8" t="s">
        <v>1033</v>
      </c>
      <c r="D624" s="9" t="s">
        <v>2518</v>
      </c>
      <c r="E624" s="10" t="str">
        <f>HYPERLINK("https://twitter.com/RosaMSJ2/status/1071151463169187841","1071151463169187841")</f>
        <v>1071151463169187841</v>
      </c>
      <c r="F624" s="16" t="s">
        <v>2519</v>
      </c>
      <c r="G624" s="12"/>
      <c r="H624" s="12"/>
      <c r="I624" s="13">
        <v>1</v>
      </c>
      <c r="J624" s="13">
        <v>1</v>
      </c>
      <c r="K624" s="14" t="str">
        <f t="shared" si="112"/>
        <v>Twitter Web Client</v>
      </c>
      <c r="L624" s="13">
        <v>756</v>
      </c>
      <c r="M624" s="13">
        <v>720</v>
      </c>
      <c r="N624" s="13">
        <v>0</v>
      </c>
      <c r="O624" s="15"/>
      <c r="P624" s="6">
        <v>43124.603460648148</v>
      </c>
      <c r="Q624" s="12"/>
      <c r="R624" s="17" t="s">
        <v>1038</v>
      </c>
      <c r="S624" s="12"/>
      <c r="T624" s="12"/>
      <c r="U624" s="10" t="str">
        <f>HYPERLINK("https://pbs.twimg.com/profile_images/956168413684084737/z41Gd8nZ.jpg","View")</f>
        <v>View</v>
      </c>
    </row>
    <row r="625" spans="1:21" ht="20.399999999999999">
      <c r="A625" s="6">
        <v>43441.927129629628</v>
      </c>
      <c r="B625" s="7" t="str">
        <f>HYPERLINK("https://twitter.com/MICELAY","@MICELAY")</f>
        <v>@MICELAY</v>
      </c>
      <c r="C625" s="8" t="s">
        <v>2520</v>
      </c>
      <c r="D625" s="9" t="s">
        <v>2521</v>
      </c>
      <c r="E625" s="10" t="str">
        <f>HYPERLINK("https://twitter.com/MICELAY/status/1071151129176801282","1071151129176801282")</f>
        <v>1071151129176801282</v>
      </c>
      <c r="F625" s="11" t="s">
        <v>2522</v>
      </c>
      <c r="G625" s="12"/>
      <c r="H625" s="12"/>
      <c r="I625" s="13">
        <v>0</v>
      </c>
      <c r="J625" s="13">
        <v>0</v>
      </c>
      <c r="K625" s="14" t="str">
        <f>HYPERLINK("http://www.facebook.com/twitter","Facebook")</f>
        <v>Facebook</v>
      </c>
      <c r="L625" s="13">
        <v>2935</v>
      </c>
      <c r="M625" s="13">
        <v>3112</v>
      </c>
      <c r="N625" s="13">
        <v>16</v>
      </c>
      <c r="O625" s="15"/>
      <c r="P625" s="6">
        <v>40567.555844907409</v>
      </c>
      <c r="Q625" s="16" t="s">
        <v>2523</v>
      </c>
      <c r="R625" s="17" t="s">
        <v>2524</v>
      </c>
      <c r="S625" s="12"/>
      <c r="T625" s="12"/>
      <c r="U625" s="10" t="str">
        <f>HYPERLINK("https://pbs.twimg.com/profile_images/1224418854/miguel6.JPG","View")</f>
        <v>View</v>
      </c>
    </row>
    <row r="626" spans="1:21" ht="30.6">
      <c r="A626" s="6">
        <v>43441.927071759259</v>
      </c>
      <c r="B626" s="7" t="str">
        <f>HYPERLINK("https://twitter.com/manuelfordalva1","@manuelfordalva1")</f>
        <v>@manuelfordalva1</v>
      </c>
      <c r="C626" s="8" t="s">
        <v>2525</v>
      </c>
      <c r="D626" s="9" t="s">
        <v>2526</v>
      </c>
      <c r="E626" s="10" t="str">
        <f>HYPERLINK("https://twitter.com/manuelfordalva1/status/1071151108280733697","1071151108280733697")</f>
        <v>1071151108280733697</v>
      </c>
      <c r="F626" s="11" t="s">
        <v>1904</v>
      </c>
      <c r="G626" s="12"/>
      <c r="H626" s="12"/>
      <c r="I626" s="13">
        <v>0</v>
      </c>
      <c r="J626" s="13">
        <v>0</v>
      </c>
      <c r="K626" s="14" t="str">
        <f t="shared" ref="K626:K628" si="113">HYPERLINK("http://twitter.com/download/android","Twitter for Android")</f>
        <v>Twitter for Android</v>
      </c>
      <c r="L626" s="13">
        <v>160</v>
      </c>
      <c r="M626" s="13">
        <v>452</v>
      </c>
      <c r="N626" s="13">
        <v>3</v>
      </c>
      <c r="O626" s="15"/>
      <c r="P626" s="6">
        <v>41953.971215277779</v>
      </c>
      <c r="Q626" s="16" t="s">
        <v>2527</v>
      </c>
      <c r="R626" s="19"/>
      <c r="S626" s="12"/>
      <c r="T626" s="12"/>
      <c r="U626" s="18" t="s">
        <v>67</v>
      </c>
    </row>
    <row r="627" spans="1:21" ht="40.799999999999997">
      <c r="A627" s="6">
        <v>43441.926712962959</v>
      </c>
      <c r="B627" s="7" t="str">
        <f>HYPERLINK("https://twitter.com/mmmbango","@mmmbango")</f>
        <v>@mmmbango</v>
      </c>
      <c r="C627" s="8" t="s">
        <v>921</v>
      </c>
      <c r="D627" s="9" t="s">
        <v>2528</v>
      </c>
      <c r="E627" s="10" t="str">
        <f>HYPERLINK("https://twitter.com/mmmbango/status/1071150976625729538","1071150976625729538")</f>
        <v>1071150976625729538</v>
      </c>
      <c r="F627" s="11" t="s">
        <v>2529</v>
      </c>
      <c r="G627" s="12"/>
      <c r="H627" s="12"/>
      <c r="I627" s="13">
        <v>2</v>
      </c>
      <c r="J627" s="13">
        <v>0</v>
      </c>
      <c r="K627" s="14" t="str">
        <f t="shared" si="113"/>
        <v>Twitter for Android</v>
      </c>
      <c r="L627" s="13">
        <v>6691</v>
      </c>
      <c r="M627" s="13">
        <v>4488</v>
      </c>
      <c r="N627" s="13">
        <v>69</v>
      </c>
      <c r="O627" s="15"/>
      <c r="P627" s="6">
        <v>41521.720983796295</v>
      </c>
      <c r="Q627" s="16" t="s">
        <v>924</v>
      </c>
      <c r="R627" s="17" t="s">
        <v>925</v>
      </c>
      <c r="S627" s="11" t="s">
        <v>926</v>
      </c>
      <c r="T627" s="12"/>
      <c r="U627" s="10" t="str">
        <f>HYPERLINK("https://pbs.twimg.com/profile_images/855523465796964352/PuP44M-h.jpg","View")</f>
        <v>View</v>
      </c>
    </row>
    <row r="628" spans="1:21" ht="30.6">
      <c r="A628" s="6">
        <v>43441.925763888888</v>
      </c>
      <c r="B628" s="7" t="str">
        <f>HYPERLINK("https://twitter.com/Marty_0371","@Marty_0371")</f>
        <v>@Marty_0371</v>
      </c>
      <c r="C628" s="8" t="s">
        <v>2530</v>
      </c>
      <c r="D628" s="9" t="s">
        <v>2531</v>
      </c>
      <c r="E628" s="10" t="str">
        <f>HYPERLINK("https://twitter.com/Marty_0371/status/1071150634324381696","1071150634324381696")</f>
        <v>1071150634324381696</v>
      </c>
      <c r="F628" s="11" t="s">
        <v>2532</v>
      </c>
      <c r="G628" s="12"/>
      <c r="H628" s="12"/>
      <c r="I628" s="13">
        <v>0</v>
      </c>
      <c r="J628" s="13">
        <v>0</v>
      </c>
      <c r="K628" s="14" t="str">
        <f t="shared" si="113"/>
        <v>Twitter for Android</v>
      </c>
      <c r="L628" s="13">
        <v>469</v>
      </c>
      <c r="M628" s="13">
        <v>1308</v>
      </c>
      <c r="N628" s="13">
        <v>4</v>
      </c>
      <c r="O628" s="15"/>
      <c r="P628" s="6">
        <v>40504.529629629629</v>
      </c>
      <c r="Q628" s="16" t="s">
        <v>1468</v>
      </c>
      <c r="R628" s="17" t="s">
        <v>2533</v>
      </c>
      <c r="S628" s="11" t="s">
        <v>2534</v>
      </c>
      <c r="T628" s="12"/>
      <c r="U628" s="10" t="str">
        <f>HYPERLINK("https://pbs.twimg.com/profile_images/787348697738862592/sGLbhK5q.jpg","View")</f>
        <v>View</v>
      </c>
    </row>
    <row r="629" spans="1:21" ht="20.399999999999999">
      <c r="A629" s="6">
        <v>43441.925752314812</v>
      </c>
      <c r="B629" s="7" t="str">
        <f>HYPERLINK("https://twitter.com/CasoAislado_In","@CasoAislado_In")</f>
        <v>@CasoAislado_In</v>
      </c>
      <c r="C629" s="8" t="s">
        <v>2535</v>
      </c>
      <c r="D629" s="9" t="s">
        <v>2536</v>
      </c>
      <c r="E629" s="10" t="str">
        <f>HYPERLINK("https://twitter.com/CasoAislado_In/status/1071150626464260096","1071150626464260096")</f>
        <v>1071150626464260096</v>
      </c>
      <c r="F629" s="11" t="s">
        <v>2537</v>
      </c>
      <c r="G629" s="12"/>
      <c r="H629" s="12"/>
      <c r="I629" s="13">
        <v>3</v>
      </c>
      <c r="J629" s="13">
        <v>4</v>
      </c>
      <c r="K629" s="14" t="str">
        <f>HYPERLINK("http://www.crowdfireapp.com","Crowdfire - Go Big")</f>
        <v>Crowdfire - Go Big</v>
      </c>
      <c r="L629" s="13">
        <v>4812</v>
      </c>
      <c r="M629" s="13">
        <v>1865</v>
      </c>
      <c r="N629" s="13">
        <v>18</v>
      </c>
      <c r="O629" s="15"/>
      <c r="P629" s="6">
        <v>42139.512048611112</v>
      </c>
      <c r="Q629" s="16" t="s">
        <v>60</v>
      </c>
      <c r="R629" s="17" t="s">
        <v>2538</v>
      </c>
      <c r="S629" s="11" t="s">
        <v>1897</v>
      </c>
      <c r="T629" s="12"/>
      <c r="U629" s="10" t="str">
        <f>HYPERLINK("https://pbs.twimg.com/profile_images/1029627983261261824/ro7VqZ3P.jpg","View")</f>
        <v>View</v>
      </c>
    </row>
    <row r="630" spans="1:21" ht="51">
      <c r="A630" s="6">
        <v>43441.924953703703</v>
      </c>
      <c r="B630" s="7" t="str">
        <f>HYPERLINK("https://twitter.com/Politica_Econom","@Politica_Econom")</f>
        <v>@Politica_Econom</v>
      </c>
      <c r="C630" s="8" t="s">
        <v>2226</v>
      </c>
      <c r="D630" s="9" t="s">
        <v>2539</v>
      </c>
      <c r="E630" s="10" t="str">
        <f>HYPERLINK("https://twitter.com/Politica_Econom/status/1071150337061347328","1071150337061347328")</f>
        <v>1071150337061347328</v>
      </c>
      <c r="F630" s="11" t="s">
        <v>2540</v>
      </c>
      <c r="G630" s="12"/>
      <c r="H630" s="12"/>
      <c r="I630" s="13">
        <v>0</v>
      </c>
      <c r="J630" s="13">
        <v>0</v>
      </c>
      <c r="K630" s="14" t="str">
        <f>HYPERLINK("http://twitter.com","Twitter Web Client")</f>
        <v>Twitter Web Client</v>
      </c>
      <c r="L630" s="13">
        <v>74</v>
      </c>
      <c r="M630" s="13">
        <v>7</v>
      </c>
      <c r="N630" s="13">
        <v>0</v>
      </c>
      <c r="O630" s="15"/>
      <c r="P630" s="6">
        <v>43256.684733796297</v>
      </c>
      <c r="Q630" s="16" t="s">
        <v>2229</v>
      </c>
      <c r="R630" s="17" t="s">
        <v>2230</v>
      </c>
      <c r="S630" s="12"/>
      <c r="T630" s="12"/>
      <c r="U630" s="10" t="str">
        <f>HYPERLINK("https://pbs.twimg.com/profile_images/1071190263060545537/asVCYQEo.jpg","View")</f>
        <v>View</v>
      </c>
    </row>
    <row r="631" spans="1:21" ht="30.6">
      <c r="A631" s="6">
        <v>43441.924305555556</v>
      </c>
      <c r="B631" s="7" t="str">
        <f>HYPERLINK("https://twitter.com/Marty_0371","@Marty_0371")</f>
        <v>@Marty_0371</v>
      </c>
      <c r="C631" s="8" t="s">
        <v>2530</v>
      </c>
      <c r="D631" s="9" t="s">
        <v>1175</v>
      </c>
      <c r="E631" s="10" t="str">
        <f>HYPERLINK("https://twitter.com/Marty_0371/status/1071150105909256197","1071150105909256197")</f>
        <v>1071150105909256197</v>
      </c>
      <c r="F631" s="11" t="s">
        <v>2541</v>
      </c>
      <c r="G631" s="12"/>
      <c r="H631" s="12"/>
      <c r="I631" s="13">
        <v>0</v>
      </c>
      <c r="J631" s="13">
        <v>0</v>
      </c>
      <c r="K631" s="14" t="str">
        <f>HYPERLINK("http://twitter.com/download/android","Twitter for Android")</f>
        <v>Twitter for Android</v>
      </c>
      <c r="L631" s="13">
        <v>469</v>
      </c>
      <c r="M631" s="13">
        <v>1308</v>
      </c>
      <c r="N631" s="13">
        <v>4</v>
      </c>
      <c r="O631" s="15"/>
      <c r="P631" s="6">
        <v>40504.529629629629</v>
      </c>
      <c r="Q631" s="16" t="s">
        <v>1468</v>
      </c>
      <c r="R631" s="17" t="s">
        <v>2533</v>
      </c>
      <c r="S631" s="11" t="s">
        <v>2534</v>
      </c>
      <c r="T631" s="12"/>
      <c r="U631" s="10" t="str">
        <f>HYPERLINK("https://pbs.twimg.com/profile_images/787348697738862592/sGLbhK5q.jpg","View")</f>
        <v>View</v>
      </c>
    </row>
    <row r="632" spans="1:21" ht="71.400000000000006">
      <c r="A632" s="6">
        <v>43441.924097222218</v>
      </c>
      <c r="B632" s="7" t="str">
        <f>HYPERLINK("https://twitter.com/gubuocear","@gubuocear")</f>
        <v>@gubuocear</v>
      </c>
      <c r="C632" s="8" t="s">
        <v>2542</v>
      </c>
      <c r="D632" s="9" t="s">
        <v>2472</v>
      </c>
      <c r="E632" s="10" t="str">
        <f>HYPERLINK("https://twitter.com/gubuocear/status/1071150029392424960","1071150029392424960")</f>
        <v>1071150029392424960</v>
      </c>
      <c r="F632" s="11" t="s">
        <v>2543</v>
      </c>
      <c r="G632" s="11" t="s">
        <v>2544</v>
      </c>
      <c r="H632" s="12"/>
      <c r="I632" s="13">
        <v>0</v>
      </c>
      <c r="J632" s="13">
        <v>0</v>
      </c>
      <c r="K632" s="14" t="str">
        <f>HYPERLINK("https://dlvrit.com/","dlvr.it")</f>
        <v>dlvr.it</v>
      </c>
      <c r="L632" s="13">
        <v>6</v>
      </c>
      <c r="M632" s="13">
        <v>0</v>
      </c>
      <c r="N632" s="13">
        <v>0</v>
      </c>
      <c r="O632" s="15"/>
      <c r="P632" s="6">
        <v>41871.918090277773</v>
      </c>
      <c r="Q632" s="16" t="s">
        <v>2545</v>
      </c>
      <c r="R632" s="17" t="s">
        <v>2546</v>
      </c>
      <c r="S632" s="11" t="s">
        <v>2547</v>
      </c>
      <c r="T632" s="12"/>
      <c r="U632" s="10" t="str">
        <f>HYPERLINK("https://pbs.twimg.com/profile_images/802907100670214147/F2S9GcjB.jpg","View")</f>
        <v>View</v>
      </c>
    </row>
    <row r="633" spans="1:21" ht="40.799999999999997">
      <c r="A633" s="6">
        <v>43441.924062499995</v>
      </c>
      <c r="B633" s="7" t="str">
        <f>HYPERLINK("https://twitter.com/algotante","@algotante")</f>
        <v>@algotante</v>
      </c>
      <c r="C633" s="8" t="s">
        <v>2548</v>
      </c>
      <c r="D633" s="9" t="s">
        <v>2010</v>
      </c>
      <c r="E633" s="10" t="str">
        <f>HYPERLINK("https://twitter.com/algotante/status/1071150017384202240","1071150017384202240")</f>
        <v>1071150017384202240</v>
      </c>
      <c r="F633" s="11" t="s">
        <v>1314</v>
      </c>
      <c r="G633" s="12"/>
      <c r="H633" s="12"/>
      <c r="I633" s="13">
        <v>2</v>
      </c>
      <c r="J633" s="13">
        <v>2</v>
      </c>
      <c r="K633" s="14" t="str">
        <f>HYPERLINK("http://twitter.com","Twitter Web Client")</f>
        <v>Twitter Web Client</v>
      </c>
      <c r="L633" s="13">
        <v>671</v>
      </c>
      <c r="M633" s="13">
        <v>701</v>
      </c>
      <c r="N633" s="13">
        <v>3</v>
      </c>
      <c r="O633" s="15"/>
      <c r="P633" s="6">
        <v>43359.656550925924</v>
      </c>
      <c r="Q633" s="16" t="s">
        <v>2550</v>
      </c>
      <c r="R633" s="17" t="s">
        <v>2551</v>
      </c>
      <c r="S633" s="12"/>
      <c r="T633" s="12"/>
      <c r="U633" s="10" t="str">
        <f>HYPERLINK("https://pbs.twimg.com/profile_images/1060970633717264386/Ulfosij5.jpg","View")</f>
        <v>View</v>
      </c>
    </row>
    <row r="634" spans="1:21" ht="40.799999999999997">
      <c r="A634" s="6">
        <v>43441.921597222223</v>
      </c>
      <c r="B634" s="7" t="str">
        <f>HYPERLINK("https://twitter.com/Caro_Sanchez_G","@Caro_Sanchez_G")</f>
        <v>@Caro_Sanchez_G</v>
      </c>
      <c r="C634" s="8" t="s">
        <v>2552</v>
      </c>
      <c r="D634" s="9" t="s">
        <v>2553</v>
      </c>
      <c r="E634" s="10" t="str">
        <f>HYPERLINK("https://twitter.com/Caro_Sanchez_G/status/1071149124685307910","1071149124685307910")</f>
        <v>1071149124685307910</v>
      </c>
      <c r="F634" s="11" t="s">
        <v>2554</v>
      </c>
      <c r="G634" s="12"/>
      <c r="H634" s="12"/>
      <c r="I634" s="13">
        <v>0</v>
      </c>
      <c r="J634" s="13">
        <v>0</v>
      </c>
      <c r="K634" s="14" t="str">
        <f>HYPERLINK("http://twitter.com/download/iphone","Twitter for iPhone")</f>
        <v>Twitter for iPhone</v>
      </c>
      <c r="L634" s="13">
        <v>463</v>
      </c>
      <c r="M634" s="13">
        <v>344</v>
      </c>
      <c r="N634" s="13">
        <v>0</v>
      </c>
      <c r="O634" s="15"/>
      <c r="P634" s="6">
        <v>42921.285798611112</v>
      </c>
      <c r="Q634" s="16" t="s">
        <v>2555</v>
      </c>
      <c r="R634" s="17" t="s">
        <v>2556</v>
      </c>
      <c r="S634" s="12"/>
      <c r="T634" s="12"/>
      <c r="U634" s="10" t="str">
        <f>HYPERLINK("https://pbs.twimg.com/profile_images/1070108263587504128/PagmcFq1.jpg","View")</f>
        <v>View</v>
      </c>
    </row>
    <row r="635" spans="1:21" ht="20.399999999999999">
      <c r="A635" s="6">
        <v>43441.920995370368</v>
      </c>
      <c r="B635" s="7" t="str">
        <f>HYPERLINK("https://twitter.com/AntGainos","@AntGainos")</f>
        <v>@AntGainos</v>
      </c>
      <c r="C635" s="8" t="s">
        <v>2557</v>
      </c>
      <c r="D635" s="9" t="s">
        <v>2558</v>
      </c>
      <c r="E635" s="10" t="str">
        <f>HYPERLINK("https://twitter.com/AntGainos/status/1071148902970245120","1071148902970245120")</f>
        <v>1071148902970245120</v>
      </c>
      <c r="F635" s="11" t="s">
        <v>1540</v>
      </c>
      <c r="G635" s="12"/>
      <c r="H635" s="12"/>
      <c r="I635" s="13">
        <v>0</v>
      </c>
      <c r="J635" s="13">
        <v>0</v>
      </c>
      <c r="K635" s="14" t="str">
        <f>HYPERLINK("http://twitter.com/download/android","Twitter for Android")</f>
        <v>Twitter for Android</v>
      </c>
      <c r="L635" s="13">
        <v>552</v>
      </c>
      <c r="M635" s="13">
        <v>553</v>
      </c>
      <c r="N635" s="13">
        <v>9</v>
      </c>
      <c r="O635" s="15"/>
      <c r="P635" s="6">
        <v>40643.846689814818</v>
      </c>
      <c r="Q635" s="16" t="s">
        <v>56</v>
      </c>
      <c r="R635" s="19"/>
      <c r="S635" s="12"/>
      <c r="T635" s="12"/>
      <c r="U635" s="10" t="str">
        <f>HYPERLINK("https://pbs.twimg.com/profile_images/1034402549011542016/iBP_Fz3r.jpg","View")</f>
        <v>View</v>
      </c>
    </row>
    <row r="636" spans="1:21" ht="30.6">
      <c r="A636" s="6">
        <v>43441.920972222222</v>
      </c>
      <c r="B636" s="7" t="str">
        <f>HYPERLINK("https://twitter.com/M50manuM","@M50manuM")</f>
        <v>@M50manuM</v>
      </c>
      <c r="C636" s="8" t="s">
        <v>2002</v>
      </c>
      <c r="D636" s="9" t="s">
        <v>2559</v>
      </c>
      <c r="E636" s="10" t="str">
        <f>HYPERLINK("https://twitter.com/M50manuM/status/1071148895873441793","1071148895873441793")</f>
        <v>1071148895873441793</v>
      </c>
      <c r="F636" s="11" t="s">
        <v>2560</v>
      </c>
      <c r="G636" s="12"/>
      <c r="H636" s="12"/>
      <c r="I636" s="13">
        <v>0</v>
      </c>
      <c r="J636" s="13">
        <v>0</v>
      </c>
      <c r="K636" s="14" t="str">
        <f>HYPERLINK("http://www.crowdfireapp.com","Crowdfire - Go Big")</f>
        <v>Crowdfire - Go Big</v>
      </c>
      <c r="L636" s="13">
        <v>1173</v>
      </c>
      <c r="M636" s="13">
        <v>744</v>
      </c>
      <c r="N636" s="13">
        <v>11</v>
      </c>
      <c r="O636" s="15"/>
      <c r="P636" s="6">
        <v>41909.907349537039</v>
      </c>
      <c r="Q636" s="12"/>
      <c r="R636" s="17" t="s">
        <v>2005</v>
      </c>
      <c r="S636" s="12"/>
      <c r="T636" s="12"/>
      <c r="U636" s="10" t="str">
        <f>HYPERLINK("https://pbs.twimg.com/profile_images/953691202829914112/i-WleAQY.jpg","View")</f>
        <v>View</v>
      </c>
    </row>
    <row r="637" spans="1:21" ht="40.799999999999997">
      <c r="A637" s="6">
        <v>43441.920706018514</v>
      </c>
      <c r="B637" s="7" t="str">
        <f>HYPERLINK("https://twitter.com/turylevy","@turylevy")</f>
        <v>@turylevy</v>
      </c>
      <c r="C637" s="8" t="s">
        <v>2561</v>
      </c>
      <c r="D637" s="9" t="s">
        <v>2562</v>
      </c>
      <c r="E637" s="10" t="str">
        <f>HYPERLINK("https://twitter.com/turylevy/status/1071148798980866048","1071148798980866048")</f>
        <v>1071148798980866048</v>
      </c>
      <c r="F637" s="11" t="s">
        <v>2563</v>
      </c>
      <c r="G637" s="12"/>
      <c r="H637" s="12"/>
      <c r="I637" s="13">
        <v>0</v>
      </c>
      <c r="J637" s="13">
        <v>0</v>
      </c>
      <c r="K637" s="14" t="str">
        <f>HYPERLINK("http://twitter.com","Twitter Web Client")</f>
        <v>Twitter Web Client</v>
      </c>
      <c r="L637" s="13">
        <v>1991</v>
      </c>
      <c r="M637" s="13">
        <v>2527</v>
      </c>
      <c r="N637" s="13">
        <v>84</v>
      </c>
      <c r="O637" s="15"/>
      <c r="P637" s="6">
        <v>40668.269074074073</v>
      </c>
      <c r="Q637" s="16" t="s">
        <v>2564</v>
      </c>
      <c r="R637" s="17" t="s">
        <v>2565</v>
      </c>
      <c r="S637" s="11" t="s">
        <v>2566</v>
      </c>
      <c r="T637" s="12"/>
      <c r="U637" s="10" t="str">
        <f>HYPERLINK("https://pbs.twimg.com/profile_images/3095602136/62b4daf676d96e5fbed89f9be328a173.jpeg","View")</f>
        <v>View</v>
      </c>
    </row>
    <row r="638" spans="1:21" ht="20.399999999999999">
      <c r="A638" s="6">
        <v>43441.920254629629</v>
      </c>
      <c r="B638" s="7" t="str">
        <f>HYPERLINK("https://twitter.com/PolitikeoES","@PolitikeoES")</f>
        <v>@PolitikeoES</v>
      </c>
      <c r="C638" s="8" t="s">
        <v>2567</v>
      </c>
      <c r="D638" s="9" t="s">
        <v>2568</v>
      </c>
      <c r="E638" s="10" t="str">
        <f>HYPERLINK("https://twitter.com/PolitikeoES/status/1071148636195704832","1071148636195704832")</f>
        <v>1071148636195704832</v>
      </c>
      <c r="F638" s="11" t="s">
        <v>2569</v>
      </c>
      <c r="G638" s="12"/>
      <c r="H638" s="12"/>
      <c r="I638" s="13">
        <v>0</v>
      </c>
      <c r="J638" s="13">
        <v>0</v>
      </c>
      <c r="K638" s="14" t="str">
        <f>HYPERLINK("http://www.crowdfireapp.com","Crowdfire - Go Big")</f>
        <v>Crowdfire - Go Big</v>
      </c>
      <c r="L638" s="13">
        <v>185</v>
      </c>
      <c r="M638" s="13">
        <v>1027</v>
      </c>
      <c r="N638" s="13">
        <v>1</v>
      </c>
      <c r="O638" s="15"/>
      <c r="P638" s="6">
        <v>42924.475428240738</v>
      </c>
      <c r="Q638" s="16" t="s">
        <v>1408</v>
      </c>
      <c r="R638" s="19"/>
      <c r="S638" s="12"/>
      <c r="T638" s="12"/>
      <c r="U638" s="10" t="str">
        <f>HYPERLINK("https://pbs.twimg.com/profile_images/883788961797332993/ybgZOSdb.jpg","View")</f>
        <v>View</v>
      </c>
    </row>
    <row r="639" spans="1:21" ht="30.6">
      <c r="A639" s="6">
        <v>43441.919583333336</v>
      </c>
      <c r="B639" s="7" t="str">
        <f>HYPERLINK("https://twitter.com/solvega50","@solvega50")</f>
        <v>@solvega50</v>
      </c>
      <c r="C639" s="8" t="s">
        <v>2570</v>
      </c>
      <c r="D639" s="9" t="s">
        <v>2571</v>
      </c>
      <c r="E639" s="10" t="str">
        <f>HYPERLINK("https://twitter.com/solvega50/status/1071148393676853248","1071148393676853248")</f>
        <v>1071148393676853248</v>
      </c>
      <c r="F639" s="12"/>
      <c r="G639" s="12"/>
      <c r="H639" s="12"/>
      <c r="I639" s="13">
        <v>1</v>
      </c>
      <c r="J639" s="13">
        <v>2</v>
      </c>
      <c r="K639" s="14" t="str">
        <f>HYPERLINK("http://twitter.com","Twitter Web Client")</f>
        <v>Twitter Web Client</v>
      </c>
      <c r="L639" s="13">
        <v>13803</v>
      </c>
      <c r="M639" s="13">
        <v>7283</v>
      </c>
      <c r="N639" s="13">
        <v>84</v>
      </c>
      <c r="O639" s="15"/>
      <c r="P639" s="6">
        <v>41482.597372685181</v>
      </c>
      <c r="Q639" s="12"/>
      <c r="R639" s="17" t="s">
        <v>2572</v>
      </c>
      <c r="S639" s="12"/>
      <c r="T639" s="12"/>
      <c r="U639" s="10" t="str">
        <f>HYPERLINK("https://pbs.twimg.com/profile_images/889971439696306176/YxOSVZ00.jpg","View")</f>
        <v>View</v>
      </c>
    </row>
    <row r="640" spans="1:21" ht="61.2">
      <c r="A640" s="6">
        <v>43441.919456018513</v>
      </c>
      <c r="B640" s="7" t="str">
        <f>HYPERLINK("https://twitter.com/XoanXoann","@XoanXoann")</f>
        <v>@XoanXoann</v>
      </c>
      <c r="C640" s="8" t="s">
        <v>2573</v>
      </c>
      <c r="D640" s="9" t="s">
        <v>2574</v>
      </c>
      <c r="E640" s="10" t="str">
        <f>HYPERLINK("https://twitter.com/XoanXoann/status/1071148345132007425","1071148345132007425")</f>
        <v>1071148345132007425</v>
      </c>
      <c r="F640" s="11" t="s">
        <v>2575</v>
      </c>
      <c r="G640" s="12"/>
      <c r="H640" s="12"/>
      <c r="I640" s="13">
        <v>19</v>
      </c>
      <c r="J640" s="13">
        <v>24</v>
      </c>
      <c r="K640" s="14" t="str">
        <f t="shared" ref="K640:K641" si="114">HYPERLINK("http://twitter.com/download/android","Twitter for Android")</f>
        <v>Twitter for Android</v>
      </c>
      <c r="L640" s="13">
        <v>2004</v>
      </c>
      <c r="M640" s="13">
        <v>4985</v>
      </c>
      <c r="N640" s="13">
        <v>3</v>
      </c>
      <c r="O640" s="15"/>
      <c r="P640" s="6">
        <v>42796.441053240742</v>
      </c>
      <c r="Q640" s="12"/>
      <c r="R640" s="17" t="s">
        <v>2576</v>
      </c>
      <c r="S640" s="12"/>
      <c r="T640" s="12"/>
      <c r="U640" s="10" t="str">
        <f>HYPERLINK("https://pbs.twimg.com/profile_images/1066020767215820805/FqHUq32V.jpg","View")</f>
        <v>View</v>
      </c>
    </row>
    <row r="641" spans="1:21" ht="30.6">
      <c r="A641" s="6">
        <v>43441.918888888889</v>
      </c>
      <c r="B641" s="7" t="str">
        <f>HYPERLINK("https://twitter.com/paquixu","@paquixu")</f>
        <v>@paquixu</v>
      </c>
      <c r="C641" s="8" t="s">
        <v>2577</v>
      </c>
      <c r="D641" s="9" t="s">
        <v>2578</v>
      </c>
      <c r="E641" s="10" t="str">
        <f>HYPERLINK("https://twitter.com/paquixu/status/1071148139791466506","1071148139791466506")</f>
        <v>1071148139791466506</v>
      </c>
      <c r="F641" s="12"/>
      <c r="G641" s="12"/>
      <c r="H641" s="12"/>
      <c r="I641" s="13">
        <v>0</v>
      </c>
      <c r="J641" s="13">
        <v>0</v>
      </c>
      <c r="K641" s="14" t="str">
        <f t="shared" si="114"/>
        <v>Twitter for Android</v>
      </c>
      <c r="L641" s="13">
        <v>25</v>
      </c>
      <c r="M641" s="13">
        <v>93</v>
      </c>
      <c r="N641" s="13">
        <v>0</v>
      </c>
      <c r="O641" s="15"/>
      <c r="P641" s="6">
        <v>42077.519953703704</v>
      </c>
      <c r="Q641" s="16" t="s">
        <v>1196</v>
      </c>
      <c r="R641" s="17" t="s">
        <v>2579</v>
      </c>
      <c r="S641" s="12"/>
      <c r="T641" s="12"/>
      <c r="U641" s="10" t="str">
        <f>HYPERLINK("https://pbs.twimg.com/profile_images/1071168511651799041/jwQaoxqC.jpg","View")</f>
        <v>View</v>
      </c>
    </row>
    <row r="642" spans="1:21" ht="30.6">
      <c r="A642" s="6">
        <v>43441.917962962965</v>
      </c>
      <c r="B642" s="7" t="str">
        <f>HYPERLINK("https://twitter.com/00flokinski11","@00flokinski11")</f>
        <v>@00flokinski11</v>
      </c>
      <c r="C642" s="8" t="s">
        <v>2580</v>
      </c>
      <c r="D642" s="9" t="s">
        <v>2581</v>
      </c>
      <c r="E642" s="10" t="str">
        <f>HYPERLINK("https://twitter.com/00flokinski11/status/1071147806306521089","1071147806306521089")</f>
        <v>1071147806306521089</v>
      </c>
      <c r="F642" s="11" t="s">
        <v>2582</v>
      </c>
      <c r="G642" s="12"/>
      <c r="H642" s="12"/>
      <c r="I642" s="13">
        <v>1</v>
      </c>
      <c r="J642" s="13">
        <v>2</v>
      </c>
      <c r="K642" s="14" t="str">
        <f t="shared" ref="K642:K644" si="115">HYPERLINK("http://twitter.com","Twitter Web Client")</f>
        <v>Twitter Web Client</v>
      </c>
      <c r="L642" s="13">
        <v>851</v>
      </c>
      <c r="M642" s="13">
        <v>1810</v>
      </c>
      <c r="N642" s="13">
        <v>2</v>
      </c>
      <c r="O642" s="15"/>
      <c r="P642" s="6">
        <v>43181.597604166665</v>
      </c>
      <c r="Q642" s="16" t="s">
        <v>2583</v>
      </c>
      <c r="R642" s="17" t="s">
        <v>2584</v>
      </c>
      <c r="S642" s="12"/>
      <c r="T642" s="12"/>
      <c r="U642" s="10" t="str">
        <f>HYPERLINK("https://pbs.twimg.com/profile_images/977616516731604992/dv5BcWtH.jpg","View")</f>
        <v>View</v>
      </c>
    </row>
    <row r="643" spans="1:21" ht="40.799999999999997">
      <c r="A643" s="6">
        <v>43441.917430555557</v>
      </c>
      <c r="B643" s="7" t="str">
        <f t="shared" ref="B643:B644" si="116">HYPERLINK("https://twitter.com/cristia49638871","@cristia49638871")</f>
        <v>@cristia49638871</v>
      </c>
      <c r="C643" s="8" t="s">
        <v>2585</v>
      </c>
      <c r="D643" s="9" t="s">
        <v>2586</v>
      </c>
      <c r="E643" s="10" t="str">
        <f>HYPERLINK("https://twitter.com/cristia49638871/status/1071147613469245440","1071147613469245440")</f>
        <v>1071147613469245440</v>
      </c>
      <c r="F643" s="12"/>
      <c r="G643" s="12"/>
      <c r="H643" s="12"/>
      <c r="I643" s="13">
        <v>0</v>
      </c>
      <c r="J643" s="13">
        <v>0</v>
      </c>
      <c r="K643" s="14" t="str">
        <f t="shared" si="115"/>
        <v>Twitter Web Client</v>
      </c>
      <c r="L643" s="13">
        <v>12</v>
      </c>
      <c r="M643" s="13">
        <v>570</v>
      </c>
      <c r="N643" s="13">
        <v>0</v>
      </c>
      <c r="O643" s="15"/>
      <c r="P643" s="6">
        <v>41328.625231481477</v>
      </c>
      <c r="Q643" s="16" t="s">
        <v>163</v>
      </c>
      <c r="R643" s="19"/>
      <c r="S643" s="12"/>
      <c r="T643" s="12"/>
      <c r="U643" s="10" t="str">
        <f t="shared" ref="U643:U644" si="117">HYPERLINK("https://pbs.twimg.com/profile_images/3435873974/10d48fbeb25453f6c424ffb99516d193.png","View")</f>
        <v>View</v>
      </c>
    </row>
    <row r="644" spans="1:21" ht="40.799999999999997">
      <c r="A644" s="6">
        <v>43441.914803240739</v>
      </c>
      <c r="B644" s="7" t="str">
        <f t="shared" si="116"/>
        <v>@cristia49638871</v>
      </c>
      <c r="C644" s="8" t="s">
        <v>2585</v>
      </c>
      <c r="D644" s="9" t="s">
        <v>2587</v>
      </c>
      <c r="E644" s="10" t="str">
        <f>HYPERLINK("https://twitter.com/cristia49638871/status/1071146658694610945","1071146658694610945")</f>
        <v>1071146658694610945</v>
      </c>
      <c r="F644" s="12"/>
      <c r="G644" s="12"/>
      <c r="H644" s="12"/>
      <c r="I644" s="13">
        <v>0</v>
      </c>
      <c r="J644" s="13">
        <v>0</v>
      </c>
      <c r="K644" s="14" t="str">
        <f t="shared" si="115"/>
        <v>Twitter Web Client</v>
      </c>
      <c r="L644" s="13">
        <v>12</v>
      </c>
      <c r="M644" s="13">
        <v>570</v>
      </c>
      <c r="N644" s="13">
        <v>0</v>
      </c>
      <c r="O644" s="15"/>
      <c r="P644" s="6">
        <v>41328.625231481477</v>
      </c>
      <c r="Q644" s="16" t="s">
        <v>163</v>
      </c>
      <c r="R644" s="19"/>
      <c r="S644" s="12"/>
      <c r="T644" s="12"/>
      <c r="U644" s="10" t="str">
        <f t="shared" si="117"/>
        <v>View</v>
      </c>
    </row>
    <row r="645" spans="1:21" ht="81.599999999999994">
      <c r="A645" s="6">
        <v>43441.914201388892</v>
      </c>
      <c r="B645" s="7" t="str">
        <f>HYPERLINK("https://twitter.com/manuel_ponte","@manuel_ponte")</f>
        <v>@manuel_ponte</v>
      </c>
      <c r="C645" s="8" t="s">
        <v>2588</v>
      </c>
      <c r="D645" s="9" t="s">
        <v>2589</v>
      </c>
      <c r="E645" s="10" t="str">
        <f>HYPERLINK("https://twitter.com/manuel_ponte/status/1071146441777864704","1071146441777864704")</f>
        <v>1071146441777864704</v>
      </c>
      <c r="F645" s="11" t="s">
        <v>2590</v>
      </c>
      <c r="G645" s="12"/>
      <c r="H645" s="12"/>
      <c r="I645" s="13">
        <v>0</v>
      </c>
      <c r="J645" s="13">
        <v>0</v>
      </c>
      <c r="K645" s="14" t="str">
        <f>HYPERLINK("http://www.facebook.com/twitter","Facebook")</f>
        <v>Facebook</v>
      </c>
      <c r="L645" s="13">
        <v>481</v>
      </c>
      <c r="M645" s="13">
        <v>1014</v>
      </c>
      <c r="N645" s="13">
        <v>25</v>
      </c>
      <c r="O645" s="15"/>
      <c r="P645" s="6">
        <v>40742.973344907405</v>
      </c>
      <c r="Q645" s="16" t="s">
        <v>119</v>
      </c>
      <c r="R645" s="17" t="s">
        <v>2591</v>
      </c>
      <c r="S645" s="11" t="s">
        <v>2592</v>
      </c>
      <c r="T645" s="12"/>
      <c r="U645" s="10" t="str">
        <f>HYPERLINK("https://pbs.twimg.com/profile_images/628140786908033025/edM2waXQ.jpg","View")</f>
        <v>View</v>
      </c>
    </row>
    <row r="646" spans="1:21" ht="51">
      <c r="A646" s="6">
        <v>43441.913171296299</v>
      </c>
      <c r="B646" s="7" t="str">
        <f>HYPERLINK("https://twitter.com/AudienciaN_Sup","@AudienciaN_Sup")</f>
        <v>@AudienciaN_Sup</v>
      </c>
      <c r="C646" s="8" t="s">
        <v>2593</v>
      </c>
      <c r="D646" s="9" t="s">
        <v>2594</v>
      </c>
      <c r="E646" s="10" t="str">
        <f>HYPERLINK("https://twitter.com/AudienciaN_Sup/status/1071146070913282049","1071146070913282049")</f>
        <v>1071146070913282049</v>
      </c>
      <c r="F646" s="11" t="s">
        <v>2595</v>
      </c>
      <c r="G646" s="12"/>
      <c r="H646" s="12"/>
      <c r="I646" s="13">
        <v>1</v>
      </c>
      <c r="J646" s="13">
        <v>4</v>
      </c>
      <c r="K646" s="14" t="str">
        <f>HYPERLINK("http://twitter.com/download/iphone","Twitter for iPhone")</f>
        <v>Twitter for iPhone</v>
      </c>
      <c r="L646" s="13">
        <v>303</v>
      </c>
      <c r="M646" s="13">
        <v>204</v>
      </c>
      <c r="N646" s="13">
        <v>4</v>
      </c>
      <c r="O646" s="15"/>
      <c r="P646" s="6">
        <v>43264.015046296292</v>
      </c>
      <c r="Q646" s="12"/>
      <c r="R646" s="17" t="s">
        <v>2596</v>
      </c>
      <c r="S646" s="12"/>
      <c r="T646" s="12"/>
      <c r="U646" s="10" t="str">
        <f>HYPERLINK("https://pbs.twimg.com/profile_images/1054286286511575041/NwNkxgtC.jpg","View")</f>
        <v>View</v>
      </c>
    </row>
    <row r="647" spans="1:21" ht="30.6">
      <c r="A647" s="6">
        <v>43441.912314814814</v>
      </c>
      <c r="B647" s="7" t="str">
        <f>HYPERLINK("https://twitter.com/oscarluislpezg1","@oscarluislpezg1")</f>
        <v>@oscarluislpezg1</v>
      </c>
      <c r="C647" s="8" t="s">
        <v>2597</v>
      </c>
      <c r="D647" s="9" t="s">
        <v>2598</v>
      </c>
      <c r="E647" s="10" t="str">
        <f>HYPERLINK("https://twitter.com/oscarluislpezg1/status/1071145760908066816","1071145760908066816")</f>
        <v>1071145760908066816</v>
      </c>
      <c r="F647" s="12"/>
      <c r="G647" s="11" t="s">
        <v>2599</v>
      </c>
      <c r="H647" s="12"/>
      <c r="I647" s="13">
        <v>0</v>
      </c>
      <c r="J647" s="13">
        <v>0</v>
      </c>
      <c r="K647" s="14" t="str">
        <f>HYPERLINK("http://twitter.com/download/android","Twitter for Android")</f>
        <v>Twitter for Android</v>
      </c>
      <c r="L647" s="13">
        <v>122</v>
      </c>
      <c r="M647" s="13">
        <v>316</v>
      </c>
      <c r="N647" s="13">
        <v>0</v>
      </c>
      <c r="O647" s="15"/>
      <c r="P647" s="6">
        <v>43290.956747685181</v>
      </c>
      <c r="Q647" s="16" t="s">
        <v>60</v>
      </c>
      <c r="R647" s="17" t="s">
        <v>2600</v>
      </c>
      <c r="S647" s="12"/>
      <c r="T647" s="12"/>
      <c r="U647" s="18" t="s">
        <v>67</v>
      </c>
    </row>
    <row r="648" spans="1:21" ht="81.599999999999994">
      <c r="A648" s="6">
        <v>43441.912268518514</v>
      </c>
      <c r="B648" s="7" t="str">
        <f>HYPERLINK("https://twitter.com/alfredoqtal","@alfredoqtal")</f>
        <v>@alfredoqtal</v>
      </c>
      <c r="C648" s="8" t="s">
        <v>2601</v>
      </c>
      <c r="D648" s="9" t="s">
        <v>2602</v>
      </c>
      <c r="E648" s="10" t="str">
        <f>HYPERLINK("https://twitter.com/alfredoqtal/status/1071145742323122176","1071145742323122176")</f>
        <v>1071145742323122176</v>
      </c>
      <c r="F648" s="11" t="s">
        <v>2603</v>
      </c>
      <c r="G648" s="11" t="s">
        <v>2604</v>
      </c>
      <c r="H648" s="12"/>
      <c r="I648" s="13">
        <v>0</v>
      </c>
      <c r="J648" s="13">
        <v>0</v>
      </c>
      <c r="K648" s="14" t="str">
        <f>HYPERLINK("http://twitter.com/#!/download/ipad","Twitter for iPad")</f>
        <v>Twitter for iPad</v>
      </c>
      <c r="L648" s="13">
        <v>39</v>
      </c>
      <c r="M648" s="13">
        <v>84</v>
      </c>
      <c r="N648" s="13">
        <v>1</v>
      </c>
      <c r="O648" s="15"/>
      <c r="P648" s="6">
        <v>40944.399201388893</v>
      </c>
      <c r="Q648" s="12"/>
      <c r="R648" s="19"/>
      <c r="S648" s="12"/>
      <c r="T648" s="12"/>
      <c r="U648" s="10" t="str">
        <f>HYPERLINK("https://pbs.twimg.com/profile_images/1070568281466118144/9_eYiQC7.jpg","View")</f>
        <v>View</v>
      </c>
    </row>
    <row r="649" spans="1:21" ht="30.6">
      <c r="A649" s="6">
        <v>43441.911979166667</v>
      </c>
      <c r="B649" s="7" t="str">
        <f>HYPERLINK("https://twitter.com/ZULU_AG","@ZULU_AG")</f>
        <v>@ZULU_AG</v>
      </c>
      <c r="C649" s="8" t="s">
        <v>2605</v>
      </c>
      <c r="D649" s="9" t="s">
        <v>575</v>
      </c>
      <c r="E649" s="10" t="str">
        <f>HYPERLINK("https://twitter.com/ZULU_AG/status/1071145635271901184","1071145635271901184")</f>
        <v>1071145635271901184</v>
      </c>
      <c r="F649" s="11" t="s">
        <v>576</v>
      </c>
      <c r="G649" s="12"/>
      <c r="H649" s="12"/>
      <c r="I649" s="13">
        <v>0</v>
      </c>
      <c r="J649" s="13">
        <v>0</v>
      </c>
      <c r="K649" s="14" t="str">
        <f>HYPERLINK("http://twitter.com/download/android","Twitter for Android")</f>
        <v>Twitter for Android</v>
      </c>
      <c r="L649" s="13">
        <v>4977</v>
      </c>
      <c r="M649" s="13">
        <v>4751</v>
      </c>
      <c r="N649" s="13">
        <v>53</v>
      </c>
      <c r="O649" s="15"/>
      <c r="P649" s="6">
        <v>42124.737615740742</v>
      </c>
      <c r="Q649" s="12"/>
      <c r="R649" s="19"/>
      <c r="S649" s="12"/>
      <c r="T649" s="12"/>
      <c r="U649" s="10" t="str">
        <f>HYPERLINK("https://pbs.twimg.com/profile_images/846088861696606208/ykGsp2oK.jpg","View")</f>
        <v>View</v>
      </c>
    </row>
    <row r="650" spans="1:21" ht="51">
      <c r="A650" s="6">
        <v>43441.911377314813</v>
      </c>
      <c r="B650" s="7" t="str">
        <f>HYPERLINK("https://twitter.com/cristia49638871","@cristia49638871")</f>
        <v>@cristia49638871</v>
      </c>
      <c r="C650" s="8" t="s">
        <v>2585</v>
      </c>
      <c r="D650" s="9" t="s">
        <v>2606</v>
      </c>
      <c r="E650" s="10" t="str">
        <f>HYPERLINK("https://twitter.com/cristia49638871/status/1071145419479093248","1071145419479093248")</f>
        <v>1071145419479093248</v>
      </c>
      <c r="F650" s="12"/>
      <c r="G650" s="12"/>
      <c r="H650" s="12"/>
      <c r="I650" s="13">
        <v>0</v>
      </c>
      <c r="J650" s="13">
        <v>0</v>
      </c>
      <c r="K650" s="14" t="str">
        <f t="shared" ref="K650:K651" si="118">HYPERLINK("http://twitter.com","Twitter Web Client")</f>
        <v>Twitter Web Client</v>
      </c>
      <c r="L650" s="13">
        <v>12</v>
      </c>
      <c r="M650" s="13">
        <v>570</v>
      </c>
      <c r="N650" s="13">
        <v>0</v>
      </c>
      <c r="O650" s="15"/>
      <c r="P650" s="6">
        <v>41328.625231481477</v>
      </c>
      <c r="Q650" s="16" t="s">
        <v>163</v>
      </c>
      <c r="R650" s="19"/>
      <c r="S650" s="12"/>
      <c r="T650" s="12"/>
      <c r="U650" s="10" t="str">
        <f>HYPERLINK("https://pbs.twimg.com/profile_images/3435873974/10d48fbeb25453f6c424ffb99516d193.png","View")</f>
        <v>View</v>
      </c>
    </row>
    <row r="651" spans="1:21" ht="40.799999999999997">
      <c r="A651" s="6">
        <v>43441.911215277782</v>
      </c>
      <c r="B651" s="7" t="str">
        <f>HYPERLINK("https://twitter.com/JaumeSolerSerra","@JaumeSolerSerra")</f>
        <v>@JaumeSolerSerra</v>
      </c>
      <c r="C651" s="8" t="s">
        <v>2607</v>
      </c>
      <c r="D651" s="9" t="s">
        <v>2608</v>
      </c>
      <c r="E651" s="10" t="str">
        <f>HYPERLINK("https://twitter.com/JaumeSolerSerra/status/1071145360817643521","1071145360817643521")</f>
        <v>1071145360817643521</v>
      </c>
      <c r="F651" s="11" t="s">
        <v>2609</v>
      </c>
      <c r="G651" s="12"/>
      <c r="H651" s="12"/>
      <c r="I651" s="13">
        <v>0</v>
      </c>
      <c r="J651" s="13">
        <v>0</v>
      </c>
      <c r="K651" s="14" t="str">
        <f t="shared" si="118"/>
        <v>Twitter Web Client</v>
      </c>
      <c r="L651" s="13">
        <v>510</v>
      </c>
      <c r="M651" s="13">
        <v>1045</v>
      </c>
      <c r="N651" s="13">
        <v>6</v>
      </c>
      <c r="O651" s="15"/>
      <c r="P651" s="6">
        <v>41150.472986111112</v>
      </c>
      <c r="Q651" s="16" t="s">
        <v>2610</v>
      </c>
      <c r="R651" s="17" t="s">
        <v>2611</v>
      </c>
      <c r="S651" s="11" t="s">
        <v>2612</v>
      </c>
      <c r="T651" s="12"/>
      <c r="U651" s="10" t="str">
        <f>HYPERLINK("https://pbs.twimg.com/profile_images/2556137076/1isb6dmw3794ju9jlf1h.jpeg","View")</f>
        <v>View</v>
      </c>
    </row>
    <row r="652" spans="1:21" ht="51">
      <c r="A652" s="6">
        <v>43441.91034722222</v>
      </c>
      <c r="B652" s="7" t="str">
        <f>HYPERLINK("https://twitter.com/Angeles33333332","@Angeles33333332")</f>
        <v>@Angeles33333332</v>
      </c>
      <c r="C652" s="8" t="s">
        <v>2613</v>
      </c>
      <c r="D652" s="9" t="s">
        <v>2614</v>
      </c>
      <c r="E652" s="10" t="str">
        <f>HYPERLINK("https://twitter.com/Angeles33333332/status/1071145045066166278","1071145045066166278")</f>
        <v>1071145045066166278</v>
      </c>
      <c r="F652" s="12"/>
      <c r="G652" s="12"/>
      <c r="H652" s="12"/>
      <c r="I652" s="13">
        <v>15</v>
      </c>
      <c r="J652" s="13">
        <v>23</v>
      </c>
      <c r="K652" s="14" t="str">
        <f t="shared" ref="K652:K653" si="119">HYPERLINK("http://twitter.com/download/android","Twitter for Android")</f>
        <v>Twitter for Android</v>
      </c>
      <c r="L652" s="13">
        <v>1044</v>
      </c>
      <c r="M652" s="13">
        <v>921</v>
      </c>
      <c r="N652" s="13">
        <v>0</v>
      </c>
      <c r="O652" s="15"/>
      <c r="P652" s="6">
        <v>43175.503680555557</v>
      </c>
      <c r="Q652" s="16" t="s">
        <v>2615</v>
      </c>
      <c r="R652" s="17" t="s">
        <v>2616</v>
      </c>
      <c r="S652" s="12"/>
      <c r="T652" s="12"/>
      <c r="U652" s="10" t="str">
        <f>HYPERLINK("https://pbs.twimg.com/profile_images/1064245988175552514/2h56-dvV.jpg","View")</f>
        <v>View</v>
      </c>
    </row>
    <row r="653" spans="1:21" ht="30.6">
      <c r="A653" s="6">
        <v>43441.908865740741</v>
      </c>
      <c r="B653" s="7" t="str">
        <f>HYPERLINK("https://twitter.com/Clare1959","@Clare1959")</f>
        <v>@Clare1959</v>
      </c>
      <c r="C653" s="8" t="s">
        <v>2617</v>
      </c>
      <c r="D653" s="9" t="s">
        <v>364</v>
      </c>
      <c r="E653" s="10" t="str">
        <f>HYPERLINK("https://twitter.com/Clare1959/status/1071144510908964865","1071144510908964865")</f>
        <v>1071144510908964865</v>
      </c>
      <c r="F653" s="11" t="s">
        <v>365</v>
      </c>
      <c r="G653" s="12"/>
      <c r="H653" s="12"/>
      <c r="I653" s="13">
        <v>0</v>
      </c>
      <c r="J653" s="13">
        <v>0</v>
      </c>
      <c r="K653" s="14" t="str">
        <f t="shared" si="119"/>
        <v>Twitter for Android</v>
      </c>
      <c r="L653" s="13">
        <v>1173</v>
      </c>
      <c r="M653" s="13">
        <v>1555</v>
      </c>
      <c r="N653" s="13">
        <v>12</v>
      </c>
      <c r="O653" s="15"/>
      <c r="P653" s="6">
        <v>40069.701979166668</v>
      </c>
      <c r="Q653" s="16" t="s">
        <v>2618</v>
      </c>
      <c r="R653" s="17" t="s">
        <v>2619</v>
      </c>
      <c r="S653" s="12"/>
      <c r="T653" s="12"/>
      <c r="U653" s="10" t="str">
        <f>HYPERLINK("https://pbs.twimg.com/profile_images/1054085070531772416/5D6pG3nn.jpg","View")</f>
        <v>View</v>
      </c>
    </row>
    <row r="654" spans="1:21" ht="20.399999999999999">
      <c r="A654" s="6">
        <v>43441.906747685185</v>
      </c>
      <c r="B654" s="7" t="str">
        <f>HYPERLINK("https://twitter.com/vega_sol","@vega_sol")</f>
        <v>@vega_sol</v>
      </c>
      <c r="C654" s="8" t="s">
        <v>2620</v>
      </c>
      <c r="D654" s="9" t="s">
        <v>2571</v>
      </c>
      <c r="E654" s="10" t="str">
        <f>HYPERLINK("https://twitter.com/vega_sol/status/1071143743493943297","1071143743493943297")</f>
        <v>1071143743493943297</v>
      </c>
      <c r="F654" s="12"/>
      <c r="G654" s="12"/>
      <c r="H654" s="12"/>
      <c r="I654" s="13">
        <v>1</v>
      </c>
      <c r="J654" s="13">
        <v>12</v>
      </c>
      <c r="K654" s="14" t="str">
        <f t="shared" ref="K654:K655" si="120">HYPERLINK("http://twitter.com","Twitter Web Client")</f>
        <v>Twitter Web Client</v>
      </c>
      <c r="L654" s="13">
        <v>28799</v>
      </c>
      <c r="M654" s="13">
        <v>11668</v>
      </c>
      <c r="N654" s="13">
        <v>281</v>
      </c>
      <c r="O654" s="15"/>
      <c r="P654" s="6">
        <v>40681.307824074072</v>
      </c>
      <c r="Q654" s="12"/>
      <c r="R654" s="17" t="s">
        <v>2621</v>
      </c>
      <c r="S654" s="12"/>
      <c r="T654" s="12"/>
      <c r="U654" s="10" t="str">
        <f>HYPERLINK("https://pbs.twimg.com/profile_images/2306766207/nnvyemyv7e947udue5cc.png","View")</f>
        <v>View</v>
      </c>
    </row>
    <row r="655" spans="1:21" ht="51">
      <c r="A655" s="6">
        <v>43441.906458333338</v>
      </c>
      <c r="B655" s="7" t="str">
        <f>HYPERLINK("https://twitter.com/cristia49638871","@cristia49638871")</f>
        <v>@cristia49638871</v>
      </c>
      <c r="C655" s="8" t="s">
        <v>2585</v>
      </c>
      <c r="D655" s="9" t="s">
        <v>2622</v>
      </c>
      <c r="E655" s="10" t="str">
        <f>HYPERLINK("https://twitter.com/cristia49638871/status/1071143637860446209","1071143637860446209")</f>
        <v>1071143637860446209</v>
      </c>
      <c r="F655" s="12"/>
      <c r="G655" s="12"/>
      <c r="H655" s="12"/>
      <c r="I655" s="13">
        <v>0</v>
      </c>
      <c r="J655" s="13">
        <v>0</v>
      </c>
      <c r="K655" s="14" t="str">
        <f t="shared" si="120"/>
        <v>Twitter Web Client</v>
      </c>
      <c r="L655" s="13">
        <v>12</v>
      </c>
      <c r="M655" s="13">
        <v>570</v>
      </c>
      <c r="N655" s="13">
        <v>0</v>
      </c>
      <c r="O655" s="15"/>
      <c r="P655" s="6">
        <v>41328.625231481477</v>
      </c>
      <c r="Q655" s="16" t="s">
        <v>163</v>
      </c>
      <c r="R655" s="19"/>
      <c r="S655" s="12"/>
      <c r="T655" s="12"/>
      <c r="U655" s="10" t="str">
        <f>HYPERLINK("https://pbs.twimg.com/profile_images/3435873974/10d48fbeb25453f6c424ffb99516d193.png","View")</f>
        <v>View</v>
      </c>
    </row>
    <row r="656" spans="1:21" ht="51">
      <c r="A656" s="6">
        <v>43441.90519675926</v>
      </c>
      <c r="B656" s="7" t="str">
        <f>HYPERLINK("https://twitter.com/Beatriz09368108","@Beatriz09368108")</f>
        <v>@Beatriz09368108</v>
      </c>
      <c r="C656" s="8" t="s">
        <v>2623</v>
      </c>
      <c r="D656" s="9" t="s">
        <v>2624</v>
      </c>
      <c r="E656" s="10" t="str">
        <f>HYPERLINK("https://twitter.com/Beatriz09368108/status/1071143177892102144","1071143177892102144")</f>
        <v>1071143177892102144</v>
      </c>
      <c r="F656" s="12"/>
      <c r="G656" s="12"/>
      <c r="H656" s="12"/>
      <c r="I656" s="13">
        <v>0</v>
      </c>
      <c r="J656" s="13">
        <v>0</v>
      </c>
      <c r="K656" s="14" t="str">
        <f>HYPERLINK("http://twitter.com/download/android","Twitter for Android")</f>
        <v>Twitter for Android</v>
      </c>
      <c r="L656" s="13">
        <v>220</v>
      </c>
      <c r="M656" s="13">
        <v>291</v>
      </c>
      <c r="N656" s="13">
        <v>1</v>
      </c>
      <c r="O656" s="15"/>
      <c r="P656" s="6">
        <v>43296.979861111111</v>
      </c>
      <c r="Q656" s="16" t="s">
        <v>2625</v>
      </c>
      <c r="R656" s="17" t="s">
        <v>2626</v>
      </c>
      <c r="S656" s="12"/>
      <c r="T656" s="12"/>
      <c r="U656" s="10" t="str">
        <f>HYPERLINK("https://pbs.twimg.com/profile_images/1068776207142014976/BczHyvoA.jpg","View")</f>
        <v>View</v>
      </c>
    </row>
    <row r="657" spans="1:21" ht="40.799999999999997">
      <c r="A657" s="6">
        <v>43441.904965277776</v>
      </c>
      <c r="B657" s="7" t="str">
        <f>HYPERLINK("https://twitter.com/VeoInfo_","@VeoInfo_")</f>
        <v>@VeoInfo_</v>
      </c>
      <c r="C657" s="8" t="s">
        <v>2627</v>
      </c>
      <c r="D657" s="9" t="s">
        <v>1209</v>
      </c>
      <c r="E657" s="10" t="str">
        <f>HYPERLINK("https://twitter.com/VeoInfo_/status/1071143094110822400","1071143094110822400")</f>
        <v>1071143094110822400</v>
      </c>
      <c r="F657" s="16" t="s">
        <v>2628</v>
      </c>
      <c r="G657" s="12"/>
      <c r="H657" s="12"/>
      <c r="I657" s="13">
        <v>0</v>
      </c>
      <c r="J657" s="13">
        <v>0</v>
      </c>
      <c r="K657" s="14" t="str">
        <f>HYPERLINK("http://publicize.wp.com/","WordPress.com")</f>
        <v>WordPress.com</v>
      </c>
      <c r="L657" s="13">
        <v>1135</v>
      </c>
      <c r="M657" s="13">
        <v>1139</v>
      </c>
      <c r="N657" s="13">
        <v>37</v>
      </c>
      <c r="O657" s="15"/>
      <c r="P657" s="6">
        <v>41881.101840277777</v>
      </c>
      <c r="Q657" s="16" t="s">
        <v>2629</v>
      </c>
      <c r="R657" s="17" t="s">
        <v>2630</v>
      </c>
      <c r="S657" s="11" t="s">
        <v>2631</v>
      </c>
      <c r="T657" s="12"/>
      <c r="U657" s="10" t="str">
        <f>HYPERLINK("https://pbs.twimg.com/profile_images/601509372305485827/Val0dfGy.png","View")</f>
        <v>View</v>
      </c>
    </row>
    <row r="658" spans="1:21" ht="40.799999999999997">
      <c r="A658" s="6">
        <v>43441.904016203705</v>
      </c>
      <c r="B658" s="7" t="str">
        <f>HYPERLINK("https://twitter.com/chiccuelina","@chiccuelina")</f>
        <v>@chiccuelina</v>
      </c>
      <c r="C658" s="8" t="s">
        <v>2632</v>
      </c>
      <c r="D658" s="9" t="s">
        <v>2633</v>
      </c>
      <c r="E658" s="10" t="str">
        <f>HYPERLINK("https://twitter.com/chiccuelina/status/1071142752572882945","1071142752572882945")</f>
        <v>1071142752572882945</v>
      </c>
      <c r="F658" s="11" t="s">
        <v>2634</v>
      </c>
      <c r="G658" s="12"/>
      <c r="H658" s="12"/>
      <c r="I658" s="13">
        <v>0</v>
      </c>
      <c r="J658" s="13">
        <v>0</v>
      </c>
      <c r="K658" s="14" t="str">
        <f>HYPERLINK("http://twitter.com/#!/download/ipad","Twitter for iPad")</f>
        <v>Twitter for iPad</v>
      </c>
      <c r="L658" s="13">
        <v>1823</v>
      </c>
      <c r="M658" s="13">
        <v>1932</v>
      </c>
      <c r="N658" s="13">
        <v>21</v>
      </c>
      <c r="O658" s="15"/>
      <c r="P658" s="6">
        <v>40638.409699074073</v>
      </c>
      <c r="Q658" s="16" t="s">
        <v>98</v>
      </c>
      <c r="R658" s="17" t="s">
        <v>2635</v>
      </c>
      <c r="S658" s="12"/>
      <c r="T658" s="12"/>
      <c r="U658" s="10" t="str">
        <f>HYPERLINK("https://pbs.twimg.com/profile_images/1059161461212278785/RhS9_clZ.jpg","View")</f>
        <v>View</v>
      </c>
    </row>
    <row r="659" spans="1:21" ht="30.6">
      <c r="A659" s="6">
        <v>43441.903935185182</v>
      </c>
      <c r="B659" s="7" t="str">
        <f>HYPERLINK("https://twitter.com/EmiUgena","@EmiUgena")</f>
        <v>@EmiUgena</v>
      </c>
      <c r="C659" s="8" t="s">
        <v>2636</v>
      </c>
      <c r="D659" s="9" t="s">
        <v>1175</v>
      </c>
      <c r="E659" s="10" t="str">
        <f>HYPERLINK("https://twitter.com/EmiUgena/status/1071142722533244928","1071142722533244928")</f>
        <v>1071142722533244928</v>
      </c>
      <c r="F659" s="11" t="s">
        <v>1176</v>
      </c>
      <c r="G659" s="12"/>
      <c r="H659" s="12"/>
      <c r="I659" s="13">
        <v>0</v>
      </c>
      <c r="J659" s="13">
        <v>0</v>
      </c>
      <c r="K659" s="14" t="str">
        <f>HYPERLINK("http://twitter.com","Twitter Web Client")</f>
        <v>Twitter Web Client</v>
      </c>
      <c r="L659" s="13">
        <v>904</v>
      </c>
      <c r="M659" s="13">
        <v>816</v>
      </c>
      <c r="N659" s="13">
        <v>17</v>
      </c>
      <c r="O659" s="15"/>
      <c r="P659" s="6">
        <v>40623.615324074075</v>
      </c>
      <c r="Q659" s="16" t="s">
        <v>2637</v>
      </c>
      <c r="R659" s="17" t="s">
        <v>2638</v>
      </c>
      <c r="S659" s="12"/>
      <c r="T659" s="12"/>
      <c r="U659" s="10" t="str">
        <f>HYPERLINK("https://pbs.twimg.com/profile_images/694494440862392320/CcmsYcVs.jpg","View")</f>
        <v>View</v>
      </c>
    </row>
    <row r="660" spans="1:21" ht="13.2">
      <c r="A660" s="6">
        <v>43441.90347222222</v>
      </c>
      <c r="B660" s="7" t="str">
        <f>HYPERLINK("https://twitter.com/PpcaballosPepe","@PpcaballosPepe")</f>
        <v>@PpcaballosPepe</v>
      </c>
      <c r="C660" s="8" t="s">
        <v>1779</v>
      </c>
      <c r="D660" s="9" t="s">
        <v>1175</v>
      </c>
      <c r="E660" s="10" t="str">
        <f>HYPERLINK("https://twitter.com/PpcaballosPepe/status/1071142554178064384","1071142554178064384")</f>
        <v>1071142554178064384</v>
      </c>
      <c r="F660" s="11" t="s">
        <v>1176</v>
      </c>
      <c r="G660" s="12"/>
      <c r="H660" s="12"/>
      <c r="I660" s="13">
        <v>0</v>
      </c>
      <c r="J660" s="13">
        <v>0</v>
      </c>
      <c r="K660" s="14" t="str">
        <f>HYPERLINK("http://twitter.com/download/android","Twitter for Android")</f>
        <v>Twitter for Android</v>
      </c>
      <c r="L660" s="13">
        <v>71</v>
      </c>
      <c r="M660" s="13">
        <v>205</v>
      </c>
      <c r="N660" s="13">
        <v>0</v>
      </c>
      <c r="O660" s="15"/>
      <c r="P660" s="6">
        <v>40963.386145833334</v>
      </c>
      <c r="Q660" s="12"/>
      <c r="R660" s="17" t="s">
        <v>1782</v>
      </c>
      <c r="S660" s="12"/>
      <c r="T660" s="12"/>
      <c r="U660" s="18" t="s">
        <v>67</v>
      </c>
    </row>
    <row r="661" spans="1:21" ht="30.6">
      <c r="A661" s="6">
        <v>43441.902777777781</v>
      </c>
      <c r="B661" s="7" t="str">
        <f>HYPERLINK("https://twitter.com/RadioHuancavilk","@RadioHuancavilk")</f>
        <v>@RadioHuancavilk</v>
      </c>
      <c r="C661" s="8" t="s">
        <v>2091</v>
      </c>
      <c r="D661" s="9" t="s">
        <v>2092</v>
      </c>
      <c r="E661" s="10" t="str">
        <f>HYPERLINK("https://twitter.com/RadioHuancavilk/status/1071142302339555328","1071142302339555328")</f>
        <v>1071142302339555328</v>
      </c>
      <c r="F661" s="11" t="s">
        <v>2093</v>
      </c>
      <c r="G661" s="11" t="s">
        <v>2639</v>
      </c>
      <c r="H661" s="12"/>
      <c r="I661" s="13">
        <v>1</v>
      </c>
      <c r="J661" s="13">
        <v>0</v>
      </c>
      <c r="K661" s="14" t="str">
        <f>HYPERLINK("https://about.twitter.com/products/tweetdeck","TweetDeck")</f>
        <v>TweetDeck</v>
      </c>
      <c r="L661" s="13">
        <v>24544</v>
      </c>
      <c r="M661" s="13">
        <v>132</v>
      </c>
      <c r="N661" s="13">
        <v>195</v>
      </c>
      <c r="O661" s="15"/>
      <c r="P661" s="6">
        <v>40735.782557870371</v>
      </c>
      <c r="Q661" s="16" t="s">
        <v>2095</v>
      </c>
      <c r="R661" s="17" t="s">
        <v>2096</v>
      </c>
      <c r="S661" s="11" t="s">
        <v>2097</v>
      </c>
      <c r="T661" s="12"/>
      <c r="U661" s="10" t="str">
        <f>HYPERLINK("https://pbs.twimg.com/profile_images/1018978289006891008/08-mGGQV.jpg","View")</f>
        <v>View</v>
      </c>
    </row>
    <row r="662" spans="1:21" ht="20.399999999999999">
      <c r="A662" s="6">
        <v>43441.900868055556</v>
      </c>
      <c r="B662" s="7" t="str">
        <f>HYPERLINK("https://twitter.com/juanlinares50","@juanlinares50")</f>
        <v>@juanlinares50</v>
      </c>
      <c r="C662" s="8" t="s">
        <v>2640</v>
      </c>
      <c r="D662" s="9" t="s">
        <v>2641</v>
      </c>
      <c r="E662" s="10" t="str">
        <f>HYPERLINK("https://twitter.com/juanlinares50/status/1071141612787564550","1071141612787564550")</f>
        <v>1071141612787564550</v>
      </c>
      <c r="F662" s="12"/>
      <c r="G662" s="12"/>
      <c r="H662" s="12"/>
      <c r="I662" s="13">
        <v>0</v>
      </c>
      <c r="J662" s="13">
        <v>1</v>
      </c>
      <c r="K662" s="14" t="str">
        <f>HYPERLINK("http://www.facebook.com/twitter","Facebook")</f>
        <v>Facebook</v>
      </c>
      <c r="L662" s="13">
        <v>254</v>
      </c>
      <c r="M662" s="13">
        <v>70</v>
      </c>
      <c r="N662" s="13">
        <v>7</v>
      </c>
      <c r="O662" s="15"/>
      <c r="P662" s="6">
        <v>40383.90525462963</v>
      </c>
      <c r="Q662" s="16" t="s">
        <v>2642</v>
      </c>
      <c r="R662" s="17" t="s">
        <v>2643</v>
      </c>
      <c r="S662" s="12"/>
      <c r="T662" s="12"/>
      <c r="U662" s="10" t="str">
        <f>HYPERLINK("https://pbs.twimg.com/profile_images/1242302087/173976_1184101707_4580449_q.jpg","View")</f>
        <v>View</v>
      </c>
    </row>
    <row r="663" spans="1:21" ht="51">
      <c r="A663" s="6">
        <v>43441.90043981481</v>
      </c>
      <c r="B663" s="7" t="str">
        <f>HYPERLINK("https://twitter.com/cristia49638871","@cristia49638871")</f>
        <v>@cristia49638871</v>
      </c>
      <c r="C663" s="8" t="s">
        <v>2585</v>
      </c>
      <c r="D663" s="9" t="s">
        <v>2644</v>
      </c>
      <c r="E663" s="10" t="str">
        <f>HYPERLINK("https://twitter.com/cristia49638871/status/1071141456394506245","1071141456394506245")</f>
        <v>1071141456394506245</v>
      </c>
      <c r="F663" s="12"/>
      <c r="G663" s="12"/>
      <c r="H663" s="12"/>
      <c r="I663" s="13">
        <v>0</v>
      </c>
      <c r="J663" s="13">
        <v>0</v>
      </c>
      <c r="K663" s="14" t="str">
        <f>HYPERLINK("http://twitter.com","Twitter Web Client")</f>
        <v>Twitter Web Client</v>
      </c>
      <c r="L663" s="13">
        <v>12</v>
      </c>
      <c r="M663" s="13">
        <v>570</v>
      </c>
      <c r="N663" s="13">
        <v>0</v>
      </c>
      <c r="O663" s="15"/>
      <c r="P663" s="6">
        <v>41328.625231481477</v>
      </c>
      <c r="Q663" s="16" t="s">
        <v>163</v>
      </c>
      <c r="R663" s="19"/>
      <c r="S663" s="12"/>
      <c r="T663" s="12"/>
      <c r="U663" s="10" t="str">
        <f>HYPERLINK("https://pbs.twimg.com/profile_images/3435873974/10d48fbeb25453f6c424ffb99516d193.png","View")</f>
        <v>View</v>
      </c>
    </row>
    <row r="664" spans="1:21" ht="40.799999999999997">
      <c r="A664" s="6">
        <v>43441.899386574078</v>
      </c>
      <c r="B664" s="7" t="str">
        <f>HYPERLINK("https://twitter.com/dickie825","@dickie825")</f>
        <v>@dickie825</v>
      </c>
      <c r="C664" s="8" t="s">
        <v>2154</v>
      </c>
      <c r="D664" s="9" t="s">
        <v>2155</v>
      </c>
      <c r="E664" s="10" t="str">
        <f>HYPERLINK("https://twitter.com/dickie825/status/1071141074012332032","1071141074012332032")</f>
        <v>1071141074012332032</v>
      </c>
      <c r="F664" s="11" t="s">
        <v>2645</v>
      </c>
      <c r="G664" s="11" t="s">
        <v>2646</v>
      </c>
      <c r="H664" s="12"/>
      <c r="I664" s="13">
        <v>0</v>
      </c>
      <c r="J664" s="13">
        <v>0</v>
      </c>
      <c r="K664" s="14" t="str">
        <f>HYPERLINK("https://dlvrit.com/","dlvr.it")</f>
        <v>dlvr.it</v>
      </c>
      <c r="L664" s="13">
        <v>3495</v>
      </c>
      <c r="M664" s="13">
        <v>2408</v>
      </c>
      <c r="N664" s="13">
        <v>23</v>
      </c>
      <c r="O664" s="15"/>
      <c r="P664" s="6">
        <v>41702.926354166666</v>
      </c>
      <c r="Q664" s="16" t="s">
        <v>2158</v>
      </c>
      <c r="R664" s="17" t="s">
        <v>2159</v>
      </c>
      <c r="S664" s="11" t="s">
        <v>2160</v>
      </c>
      <c r="T664" s="12"/>
      <c r="U664" s="10" t="str">
        <f>HYPERLINK("https://pbs.twimg.com/profile_images/462982799574581250/pOhVVnh8.png","View")</f>
        <v>View</v>
      </c>
    </row>
    <row r="665" spans="1:21" ht="51">
      <c r="A665" s="6">
        <v>43441.899340277778</v>
      </c>
      <c r="B665" s="7" t="str">
        <f>HYPERLINK("https://twitter.com/Carvi18265134","@Carvi18265134")</f>
        <v>@Carvi18265134</v>
      </c>
      <c r="C665" s="8" t="s">
        <v>2647</v>
      </c>
      <c r="D665" s="9" t="s">
        <v>2648</v>
      </c>
      <c r="E665" s="10" t="str">
        <f>HYPERLINK("https://twitter.com/Carvi18265134/status/1071141058959036417","1071141058959036417")</f>
        <v>1071141058959036417</v>
      </c>
      <c r="F665" s="12"/>
      <c r="G665" s="12"/>
      <c r="H665" s="12"/>
      <c r="I665" s="13">
        <v>0</v>
      </c>
      <c r="J665" s="13">
        <v>0</v>
      </c>
      <c r="K665" s="14" t="str">
        <f>HYPERLINK("http://twitter.com/download/android","Twitter for Android")</f>
        <v>Twitter for Android</v>
      </c>
      <c r="L665" s="13">
        <v>18</v>
      </c>
      <c r="M665" s="13">
        <v>37</v>
      </c>
      <c r="N665" s="13">
        <v>0</v>
      </c>
      <c r="O665" s="15"/>
      <c r="P665" s="6">
        <v>43405.578090277777</v>
      </c>
      <c r="Q665" s="16" t="s">
        <v>2649</v>
      </c>
      <c r="R665" s="17" t="s">
        <v>2650</v>
      </c>
      <c r="S665" s="12"/>
      <c r="T665" s="12"/>
      <c r="U665" s="10" t="str">
        <f>HYPERLINK("https://pbs.twimg.com/profile_images/1058705906412802048/mJUK3iem.jpg","View")</f>
        <v>View</v>
      </c>
    </row>
    <row r="666" spans="1:21" ht="40.799999999999997">
      <c r="A666" s="6">
        <v>43441.898923611108</v>
      </c>
      <c r="B666" s="7" t="str">
        <f>HYPERLINK("https://twitter.com/Vota_Ciudadanos","@Vota_Ciudadanos")</f>
        <v>@Vota_Ciudadanos</v>
      </c>
      <c r="C666" s="8" t="s">
        <v>2651</v>
      </c>
      <c r="D666" s="9" t="s">
        <v>2652</v>
      </c>
      <c r="E666" s="10" t="str">
        <f>HYPERLINK("https://twitter.com/Vota_Ciudadanos/status/1071140904642199552","1071140904642199552")</f>
        <v>1071140904642199552</v>
      </c>
      <c r="F666" s="16" t="s">
        <v>2653</v>
      </c>
      <c r="G666" s="12"/>
      <c r="H666" s="12"/>
      <c r="I666" s="13">
        <v>2</v>
      </c>
      <c r="J666" s="13">
        <v>1</v>
      </c>
      <c r="K666" s="14" t="str">
        <f t="shared" ref="K666:K667" si="121">HYPERLINK("http://twitter.com","Twitter Web Client")</f>
        <v>Twitter Web Client</v>
      </c>
      <c r="L666" s="13">
        <v>5464</v>
      </c>
      <c r="M666" s="13">
        <v>4827</v>
      </c>
      <c r="N666" s="13">
        <v>45</v>
      </c>
      <c r="O666" s="15"/>
      <c r="P666" s="6">
        <v>42016.986238425925</v>
      </c>
      <c r="Q666" s="16" t="s">
        <v>2654</v>
      </c>
      <c r="R666" s="17" t="s">
        <v>2655</v>
      </c>
      <c r="S666" s="12"/>
      <c r="T666" s="12"/>
      <c r="U666" s="10" t="str">
        <f>HYPERLINK("https://pbs.twimg.com/profile_images/948565303478423552/mAzP03oS.jpg","View")</f>
        <v>View</v>
      </c>
    </row>
    <row r="667" spans="1:21" ht="30.6">
      <c r="A667" s="6">
        <v>43441.898368055554</v>
      </c>
      <c r="B667" s="7" t="str">
        <f>HYPERLINK("https://twitter.com/VdeVendetta","@VdeVendetta")</f>
        <v>@VdeVendetta</v>
      </c>
      <c r="C667" s="8" t="s">
        <v>2656</v>
      </c>
      <c r="D667" s="9" t="s">
        <v>2657</v>
      </c>
      <c r="E667" s="10" t="str">
        <f>HYPERLINK("https://twitter.com/VdeVendetta/status/1071140704355782656","1071140704355782656")</f>
        <v>1071140704355782656</v>
      </c>
      <c r="F667" s="11" t="s">
        <v>2658</v>
      </c>
      <c r="G667" s="12"/>
      <c r="H667" s="12"/>
      <c r="I667" s="13">
        <v>0</v>
      </c>
      <c r="J667" s="13">
        <v>0</v>
      </c>
      <c r="K667" s="14" t="str">
        <f t="shared" si="121"/>
        <v>Twitter Web Client</v>
      </c>
      <c r="L667" s="13">
        <v>1533</v>
      </c>
      <c r="M667" s="13">
        <v>336</v>
      </c>
      <c r="N667" s="13">
        <v>60</v>
      </c>
      <c r="O667" s="15"/>
      <c r="P667" s="6">
        <v>39787.046597222223</v>
      </c>
      <c r="Q667" s="16" t="s">
        <v>2659</v>
      </c>
      <c r="R667" s="17" t="s">
        <v>2660</v>
      </c>
      <c r="S667" s="12"/>
      <c r="T667" s="12"/>
      <c r="U667" s="10" t="str">
        <f>HYPERLINK("https://pbs.twimg.com/profile_images/1011713464551858177/p-C4vuRv.jpg","View")</f>
        <v>View</v>
      </c>
    </row>
    <row r="668" spans="1:21" ht="40.799999999999997">
      <c r="A668" s="6">
        <v>43441.898356481484</v>
      </c>
      <c r="B668" s="7" t="str">
        <f>HYPERLINK("https://twitter.com/felixdelaflor","@felixdelaflor")</f>
        <v>@felixdelaflor</v>
      </c>
      <c r="C668" s="8" t="s">
        <v>2661</v>
      </c>
      <c r="D668" s="9" t="s">
        <v>2662</v>
      </c>
      <c r="E668" s="10" t="str">
        <f>HYPERLINK("https://twitter.com/felixdelaflor/status/1071140698550951936","1071140698550951936")</f>
        <v>1071140698550951936</v>
      </c>
      <c r="F668" s="11" t="s">
        <v>2663</v>
      </c>
      <c r="G668" s="12"/>
      <c r="H668" s="12"/>
      <c r="I668" s="13">
        <v>0</v>
      </c>
      <c r="J668" s="13">
        <v>0</v>
      </c>
      <c r="K668" s="14" t="str">
        <f>HYPERLINK("http://twitter.com/download/iphone","Twitter for iPhone")</f>
        <v>Twitter for iPhone</v>
      </c>
      <c r="L668" s="13">
        <v>8</v>
      </c>
      <c r="M668" s="13">
        <v>47</v>
      </c>
      <c r="N668" s="13">
        <v>0</v>
      </c>
      <c r="O668" s="15"/>
      <c r="P668" s="6">
        <v>41009.915185185186</v>
      </c>
      <c r="Q668" s="16" t="s">
        <v>133</v>
      </c>
      <c r="R668" s="19"/>
      <c r="S668" s="12"/>
      <c r="T668" s="12"/>
      <c r="U668" s="10" t="str">
        <f>HYPERLINK("https://pbs.twimg.com/profile_images/605517613901463552/1I5uTXq6.jpg","View")</f>
        <v>View</v>
      </c>
    </row>
    <row r="669" spans="1:21" ht="20.399999999999999">
      <c r="A669" s="6">
        <v>43441.897893518515</v>
      </c>
      <c r="B669" s="7" t="str">
        <f>HYPERLINK("https://twitter.com/KALERGIPLAN3","@KALERGIPLAN3")</f>
        <v>@KALERGIPLAN3</v>
      </c>
      <c r="C669" s="8" t="s">
        <v>2481</v>
      </c>
      <c r="D669" s="9" t="s">
        <v>2664</v>
      </c>
      <c r="E669" s="10" t="str">
        <f>HYPERLINK("https://twitter.com/KALERGIPLAN3/status/1071140533588975616","1071140533588975616")</f>
        <v>1071140533588975616</v>
      </c>
      <c r="F669" s="11" t="s">
        <v>2665</v>
      </c>
      <c r="G669" s="12"/>
      <c r="H669" s="12"/>
      <c r="I669" s="13">
        <v>2</v>
      </c>
      <c r="J669" s="13">
        <v>1</v>
      </c>
      <c r="K669" s="14" t="str">
        <f>HYPERLINK("http://twitter.com","Twitter Web Client")</f>
        <v>Twitter Web Client</v>
      </c>
      <c r="L669" s="13">
        <v>759</v>
      </c>
      <c r="M669" s="13">
        <v>1224</v>
      </c>
      <c r="N669" s="13">
        <v>4</v>
      </c>
      <c r="O669" s="15"/>
      <c r="P669" s="6">
        <v>43126.55405092593</v>
      </c>
      <c r="Q669" s="16" t="s">
        <v>2484</v>
      </c>
      <c r="R669" s="17" t="s">
        <v>2485</v>
      </c>
      <c r="S669" s="12"/>
      <c r="T669" s="12"/>
      <c r="U669" s="10" t="str">
        <f>HYPERLINK("https://pbs.twimg.com/profile_images/957285491707121664/UefjbD3b.jpg","View")</f>
        <v>View</v>
      </c>
    </row>
    <row r="670" spans="1:21" ht="30.6">
      <c r="A670" s="6">
        <v>43441.897465277776</v>
      </c>
      <c r="B670" s="7" t="str">
        <f>HYPERLINK("https://twitter.com/jsanvc","@jsanvc")</f>
        <v>@jsanvc</v>
      </c>
      <c r="C670" s="8" t="s">
        <v>2666</v>
      </c>
      <c r="D670" s="9" t="s">
        <v>2667</v>
      </c>
      <c r="E670" s="10" t="str">
        <f>HYPERLINK("https://twitter.com/jsanvc/status/1071140378563305475","1071140378563305475")</f>
        <v>1071140378563305475</v>
      </c>
      <c r="F670" s="11" t="s">
        <v>2668</v>
      </c>
      <c r="G670" s="12"/>
      <c r="H670" s="12"/>
      <c r="I670" s="13">
        <v>0</v>
      </c>
      <c r="J670" s="13">
        <v>0</v>
      </c>
      <c r="K670" s="14" t="str">
        <f t="shared" ref="K670:K671" si="122">HYPERLINK("http://twitter.com/download/android","Twitter for Android")</f>
        <v>Twitter for Android</v>
      </c>
      <c r="L670" s="13">
        <v>1362</v>
      </c>
      <c r="M670" s="13">
        <v>948</v>
      </c>
      <c r="N670" s="13">
        <v>40</v>
      </c>
      <c r="O670" s="15"/>
      <c r="P670" s="6">
        <v>41641.963402777779</v>
      </c>
      <c r="Q670" s="16" t="s">
        <v>60</v>
      </c>
      <c r="R670" s="17" t="s">
        <v>2669</v>
      </c>
      <c r="S670" s="12"/>
      <c r="T670" s="12"/>
      <c r="U670" s="10" t="str">
        <f>HYPERLINK("https://pbs.twimg.com/profile_images/485145466217459713/L28dpzxb.jpeg","View")</f>
        <v>View</v>
      </c>
    </row>
    <row r="671" spans="1:21" ht="30.6">
      <c r="A671" s="6">
        <v>43441.897164351853</v>
      </c>
      <c r="B671" s="7" t="str">
        <f>HYPERLINK("https://twitter.com/IviLosada14","@IviLosada14")</f>
        <v>@IviLosada14</v>
      </c>
      <c r="C671" s="8" t="s">
        <v>2670</v>
      </c>
      <c r="D671" s="9" t="s">
        <v>2671</v>
      </c>
      <c r="E671" s="10" t="str">
        <f>HYPERLINK("https://twitter.com/IviLosada14/status/1071140267900788747","1071140267900788747")</f>
        <v>1071140267900788747</v>
      </c>
      <c r="F671" s="12"/>
      <c r="G671" s="11" t="s">
        <v>2672</v>
      </c>
      <c r="H671" s="12"/>
      <c r="I671" s="13">
        <v>0</v>
      </c>
      <c r="J671" s="13">
        <v>0</v>
      </c>
      <c r="K671" s="14" t="str">
        <f t="shared" si="122"/>
        <v>Twitter for Android</v>
      </c>
      <c r="L671" s="13">
        <v>790</v>
      </c>
      <c r="M671" s="13">
        <v>2484</v>
      </c>
      <c r="N671" s="13">
        <v>32</v>
      </c>
      <c r="O671" s="15"/>
      <c r="P671" s="6">
        <v>40360.567916666667</v>
      </c>
      <c r="Q671" s="16" t="s">
        <v>2673</v>
      </c>
      <c r="R671" s="17" t="s">
        <v>2674</v>
      </c>
      <c r="S671" s="11" t="s">
        <v>2675</v>
      </c>
      <c r="T671" s="12"/>
      <c r="U671" s="10" t="str">
        <f>HYPERLINK("https://pbs.twimg.com/profile_images/1033030543250804741/VrKb_r6o.jpg","View")</f>
        <v>View</v>
      </c>
    </row>
    <row r="672" spans="1:21" ht="13.2">
      <c r="A672" s="6">
        <v>43441.897141203706</v>
      </c>
      <c r="B672" s="7" t="str">
        <f>HYPERLINK("https://twitter.com/_barbazul5","@_barbazul5")</f>
        <v>@_barbazul5</v>
      </c>
      <c r="C672" s="8" t="s">
        <v>2676</v>
      </c>
      <c r="D672" s="9" t="s">
        <v>2677</v>
      </c>
      <c r="E672" s="10" t="str">
        <f>HYPERLINK("https://twitter.com/_barbazul5/status/1071140259692453888","1071140259692453888")</f>
        <v>1071140259692453888</v>
      </c>
      <c r="F672" s="11" t="s">
        <v>2678</v>
      </c>
      <c r="G672" s="12"/>
      <c r="H672" s="12"/>
      <c r="I672" s="13">
        <v>0</v>
      </c>
      <c r="J672" s="13">
        <v>0</v>
      </c>
      <c r="K672" s="14" t="str">
        <f>HYPERLINK("http://www.facebook.com/twitter","Facebook")</f>
        <v>Facebook</v>
      </c>
      <c r="L672" s="13">
        <v>218</v>
      </c>
      <c r="M672" s="13">
        <v>165</v>
      </c>
      <c r="N672" s="13">
        <v>7</v>
      </c>
      <c r="O672" s="15"/>
      <c r="P672" s="6">
        <v>40817.404641203706</v>
      </c>
      <c r="Q672" s="16" t="s">
        <v>2679</v>
      </c>
      <c r="R672" s="19"/>
      <c r="S672" s="11" t="s">
        <v>2680</v>
      </c>
      <c r="T672" s="12"/>
      <c r="U672" s="10" t="str">
        <f>HYPERLINK("https://pbs.twimg.com/profile_images/673976526690480128/jgM3TH1Y.jpg","View")</f>
        <v>View</v>
      </c>
    </row>
    <row r="673" spans="1:21" ht="40.799999999999997">
      <c r="A673" s="6">
        <v>43441.897060185191</v>
      </c>
      <c r="B673" s="7" t="str">
        <f>HYPERLINK("https://twitter.com/carlosrp20","@carlosrp20")</f>
        <v>@carlosrp20</v>
      </c>
      <c r="C673" s="8" t="s">
        <v>566</v>
      </c>
      <c r="D673" s="9" t="s">
        <v>2681</v>
      </c>
      <c r="E673" s="10" t="str">
        <f>HYPERLINK("https://twitter.com/carlosrp20/status/1071140229539659776","1071140229539659776")</f>
        <v>1071140229539659776</v>
      </c>
      <c r="F673" s="11" t="s">
        <v>2682</v>
      </c>
      <c r="G673" s="12"/>
      <c r="H673" s="12"/>
      <c r="I673" s="13">
        <v>0</v>
      </c>
      <c r="J673" s="13">
        <v>0</v>
      </c>
      <c r="K673" s="14" t="str">
        <f>HYPERLINK("http://twitter.com/download/iphone","Twitter for iPhone")</f>
        <v>Twitter for iPhone</v>
      </c>
      <c r="L673" s="13">
        <v>602</v>
      </c>
      <c r="M673" s="13">
        <v>958</v>
      </c>
      <c r="N673" s="13">
        <v>12</v>
      </c>
      <c r="O673" s="15"/>
      <c r="P673" s="6">
        <v>40576.485879629632</v>
      </c>
      <c r="Q673" s="12"/>
      <c r="R673" s="17" t="s">
        <v>2683</v>
      </c>
      <c r="S673" s="12"/>
      <c r="T673" s="12"/>
      <c r="U673" s="10" t="str">
        <f>HYPERLINK("https://pbs.twimg.com/profile_images/664164771349008384/f1FDs-GD.jpg","View")</f>
        <v>View</v>
      </c>
    </row>
    <row r="674" spans="1:21" ht="20.399999999999999">
      <c r="A674" s="6">
        <v>43441.896701388891</v>
      </c>
      <c r="B674" s="7" t="str">
        <f>HYPERLINK("https://twitter.com/ademaroni","@ademaroni")</f>
        <v>@ademaroni</v>
      </c>
      <c r="C674" s="8" t="s">
        <v>2684</v>
      </c>
      <c r="D674" s="9" t="s">
        <v>2685</v>
      </c>
      <c r="E674" s="10" t="str">
        <f>HYPERLINK("https://twitter.com/ademaroni/status/1071140098836783106","1071140098836783106")</f>
        <v>1071140098836783106</v>
      </c>
      <c r="F674" s="11" t="s">
        <v>2686</v>
      </c>
      <c r="G674" s="12"/>
      <c r="H674" s="12"/>
      <c r="I674" s="13">
        <v>0</v>
      </c>
      <c r="J674" s="13">
        <v>0</v>
      </c>
      <c r="K674" s="14" t="str">
        <f>HYPERLINK("http://twitter.com","Twitter Web Client")</f>
        <v>Twitter Web Client</v>
      </c>
      <c r="L674" s="13">
        <v>4606</v>
      </c>
      <c r="M674" s="13">
        <v>4733</v>
      </c>
      <c r="N674" s="13">
        <v>11</v>
      </c>
      <c r="O674" s="15"/>
      <c r="P674" s="6">
        <v>41797.720405092594</v>
      </c>
      <c r="Q674" s="12"/>
      <c r="R674" s="17" t="s">
        <v>2687</v>
      </c>
      <c r="S674" s="12"/>
      <c r="T674" s="12"/>
      <c r="U674" s="10" t="str">
        <f>HYPERLINK("https://pbs.twimg.com/profile_images/871048654802604032/LHs4SEN4.jpg","View")</f>
        <v>View</v>
      </c>
    </row>
    <row r="675" spans="1:21" ht="20.399999999999999">
      <c r="A675" s="6">
        <v>43441.896585648152</v>
      </c>
      <c r="B675" s="7" t="str">
        <f>HYPERLINK("https://twitter.com/Paqui_D","@Paqui_D")</f>
        <v>@Paqui_D</v>
      </c>
      <c r="C675" s="8" t="s">
        <v>2688</v>
      </c>
      <c r="D675" s="9" t="s">
        <v>2689</v>
      </c>
      <c r="E675" s="10" t="str">
        <f>HYPERLINK("https://twitter.com/Paqui_D/status/1071140059192143873","1071140059192143873")</f>
        <v>1071140059192143873</v>
      </c>
      <c r="F675" s="12"/>
      <c r="G675" s="12"/>
      <c r="H675" s="12"/>
      <c r="I675" s="13">
        <v>4</v>
      </c>
      <c r="J675" s="13">
        <v>3</v>
      </c>
      <c r="K675" s="14" t="str">
        <f>HYPERLINK("http://twitter.com/download/android","Twitter for Android")</f>
        <v>Twitter for Android</v>
      </c>
      <c r="L675" s="13">
        <v>767</v>
      </c>
      <c r="M675" s="13">
        <v>975</v>
      </c>
      <c r="N675" s="13">
        <v>13</v>
      </c>
      <c r="O675" s="15"/>
      <c r="P675" s="6">
        <v>41207.907233796301</v>
      </c>
      <c r="Q675" s="12"/>
      <c r="R675" s="19"/>
      <c r="S675" s="12"/>
      <c r="T675" s="12"/>
      <c r="U675" s="10" t="str">
        <f>HYPERLINK("https://pbs.twimg.com/profile_images/2763912447/c01a4970dd5b0f2ba58dbdfbf1091062.jpeg","View")</f>
        <v>View</v>
      </c>
    </row>
    <row r="676" spans="1:21" ht="20.399999999999999">
      <c r="A676" s="6">
        <v>43441.896168981482</v>
      </c>
      <c r="B676" s="7" t="str">
        <f>HYPERLINK("https://twitter.com/GranadaCFAddict","@GranadaCFAddict")</f>
        <v>@GranadaCFAddict</v>
      </c>
      <c r="C676" s="8" t="s">
        <v>2690</v>
      </c>
      <c r="D676" s="9" t="s">
        <v>2691</v>
      </c>
      <c r="E676" s="10" t="str">
        <f>HYPERLINK("https://twitter.com/GranadaCFAddict/status/1071139908398522368","1071139908398522368")</f>
        <v>1071139908398522368</v>
      </c>
      <c r="F676" s="11" t="s">
        <v>2692</v>
      </c>
      <c r="G676" s="12"/>
      <c r="H676" s="12"/>
      <c r="I676" s="13">
        <v>0</v>
      </c>
      <c r="J676" s="13">
        <v>0</v>
      </c>
      <c r="K676" s="14" t="str">
        <f>HYPERLINK("http://www.futbol-addict.com/es/news/liga-santander/granada-cf","Granada C.F Addict")</f>
        <v>Granada C.F Addict</v>
      </c>
      <c r="L676" s="13">
        <v>132</v>
      </c>
      <c r="M676" s="13">
        <v>281</v>
      </c>
      <c r="N676" s="13">
        <v>1</v>
      </c>
      <c r="O676" s="15"/>
      <c r="P676" s="6">
        <v>42860.664363425924</v>
      </c>
      <c r="Q676" s="16" t="s">
        <v>2693</v>
      </c>
      <c r="R676" s="17" t="s">
        <v>2694</v>
      </c>
      <c r="S676" s="11" t="s">
        <v>2695</v>
      </c>
      <c r="T676" s="12"/>
      <c r="U676" s="10" t="str">
        <f>HYPERLINK("https://pbs.twimg.com/profile_images/860494134230036480/NZ7pdHHt.jpg","View")</f>
        <v>View</v>
      </c>
    </row>
    <row r="677" spans="1:21" ht="40.799999999999997">
      <c r="A677" s="6">
        <v>43441.896053240736</v>
      </c>
      <c r="B677" s="7" t="str">
        <f>HYPERLINK("https://twitter.com/lorigados27","@lorigados27")</f>
        <v>@lorigados27</v>
      </c>
      <c r="C677" s="8" t="s">
        <v>2696</v>
      </c>
      <c r="D677" s="9" t="s">
        <v>2697</v>
      </c>
      <c r="E677" s="10" t="str">
        <f>HYPERLINK("https://twitter.com/lorigados27/status/1071139865155244034","1071139865155244034")</f>
        <v>1071139865155244034</v>
      </c>
      <c r="F677" s="12"/>
      <c r="G677" s="12"/>
      <c r="H677" s="12"/>
      <c r="I677" s="13">
        <v>0</v>
      </c>
      <c r="J677" s="13">
        <v>0</v>
      </c>
      <c r="K677" s="14" t="str">
        <f>HYPERLINK("http://twitter.com/download/android","Twitter for Android")</f>
        <v>Twitter for Android</v>
      </c>
      <c r="L677" s="13">
        <v>8582</v>
      </c>
      <c r="M677" s="13">
        <v>7130</v>
      </c>
      <c r="N677" s="13">
        <v>11</v>
      </c>
      <c r="O677" s="15"/>
      <c r="P677" s="6">
        <v>40825.375381944446</v>
      </c>
      <c r="Q677" s="16" t="s">
        <v>2699</v>
      </c>
      <c r="R677" s="17" t="s">
        <v>2700</v>
      </c>
      <c r="S677" s="12"/>
      <c r="T677" s="12"/>
      <c r="U677" s="10" t="str">
        <f>HYPERLINK("https://pbs.twimg.com/profile_images/972191901880406016/5N7GlSYc.jpg","View")</f>
        <v>View</v>
      </c>
    </row>
    <row r="678" spans="1:21" ht="51">
      <c r="A678" s="6">
        <v>43441.896018518513</v>
      </c>
      <c r="B678" s="7" t="str">
        <f>HYPERLINK("https://twitter.com/AhoraCantabria","@AhoraCantabria")</f>
        <v>@AhoraCantabria</v>
      </c>
      <c r="C678" s="8" t="s">
        <v>2031</v>
      </c>
      <c r="D678" s="9" t="s">
        <v>2032</v>
      </c>
      <c r="E678" s="10" t="str">
        <f>HYPERLINK("https://twitter.com/AhoraCantabria/status/1071139851368652800","1071139851368652800")</f>
        <v>1071139851368652800</v>
      </c>
      <c r="F678" s="12"/>
      <c r="G678" s="11" t="s">
        <v>2701</v>
      </c>
      <c r="H678" s="12"/>
      <c r="I678" s="13">
        <v>0</v>
      </c>
      <c r="J678" s="13">
        <v>0</v>
      </c>
      <c r="K678" s="14" t="str">
        <f>HYPERLINK("https://www.hootsuite.com","Hootsuite Inc.")</f>
        <v>Hootsuite Inc.</v>
      </c>
      <c r="L678" s="13">
        <v>8608</v>
      </c>
      <c r="M678" s="13">
        <v>1423</v>
      </c>
      <c r="N678" s="13">
        <v>134</v>
      </c>
      <c r="O678" s="15"/>
      <c r="P678" s="6">
        <v>41200.829687500001</v>
      </c>
      <c r="Q678" s="16" t="s">
        <v>282</v>
      </c>
      <c r="R678" s="17" t="s">
        <v>2034</v>
      </c>
      <c r="S678" s="11" t="s">
        <v>2035</v>
      </c>
      <c r="T678" s="12"/>
      <c r="U678" s="10" t="str">
        <f>HYPERLINK("https://pbs.twimg.com/profile_images/978940959617617922/UqYGk2Wc.jpg","View")</f>
        <v>View</v>
      </c>
    </row>
    <row r="679" spans="1:21" ht="30.6">
      <c r="A679" s="6">
        <v>43441.895925925928</v>
      </c>
      <c r="B679" s="7" t="str">
        <f>HYPERLINK("https://twitter.com/aneshali","@aneshali")</f>
        <v>@aneshali</v>
      </c>
      <c r="C679" s="8" t="s">
        <v>2702</v>
      </c>
      <c r="D679" s="9" t="s">
        <v>575</v>
      </c>
      <c r="E679" s="10" t="str">
        <f>HYPERLINK("https://twitter.com/aneshali/status/1071139819131207680","1071139819131207680")</f>
        <v>1071139819131207680</v>
      </c>
      <c r="F679" s="11" t="s">
        <v>576</v>
      </c>
      <c r="G679" s="12"/>
      <c r="H679" s="12"/>
      <c r="I679" s="13">
        <v>0</v>
      </c>
      <c r="J679" s="13">
        <v>0</v>
      </c>
      <c r="K679" s="14" t="str">
        <f>HYPERLINK("http://twitter.com/download/android","Twitter for Android")</f>
        <v>Twitter for Android</v>
      </c>
      <c r="L679" s="13">
        <v>3189</v>
      </c>
      <c r="M679" s="13">
        <v>2693</v>
      </c>
      <c r="N679" s="13">
        <v>99</v>
      </c>
      <c r="O679" s="15"/>
      <c r="P679" s="6">
        <v>40891.477685185186</v>
      </c>
      <c r="Q679" s="16" t="s">
        <v>60</v>
      </c>
      <c r="R679" s="17" t="s">
        <v>2703</v>
      </c>
      <c r="S679" s="12"/>
      <c r="T679" s="12"/>
      <c r="U679" s="10" t="str">
        <f>HYPERLINK("https://pbs.twimg.com/profile_images/1070707866829504516/jISp6CZf.jpg","View")</f>
        <v>View</v>
      </c>
    </row>
    <row r="680" spans="1:21" ht="112.2">
      <c r="A680" s="6">
        <v>43441.895671296297</v>
      </c>
      <c r="B680" s="7" t="str">
        <f>HYPERLINK("https://twitter.com/Cavemanvs","@Cavemanvs")</f>
        <v>@Cavemanvs</v>
      </c>
      <c r="C680" s="8" t="s">
        <v>2704</v>
      </c>
      <c r="D680" s="9" t="s">
        <v>2705</v>
      </c>
      <c r="E680" s="10" t="str">
        <f>HYPERLINK("https://twitter.com/Cavemanvs/status/1071139727053651974","1071139727053651974")</f>
        <v>1071139727053651974</v>
      </c>
      <c r="F680" s="11" t="s">
        <v>931</v>
      </c>
      <c r="G680" s="11" t="s">
        <v>933</v>
      </c>
      <c r="H680" s="12"/>
      <c r="I680" s="13">
        <v>0</v>
      </c>
      <c r="J680" s="13">
        <v>2</v>
      </c>
      <c r="K680" s="14" t="str">
        <f>HYPERLINK("http://twitter.com","Twitter Web Client")</f>
        <v>Twitter Web Client</v>
      </c>
      <c r="L680" s="13">
        <v>289</v>
      </c>
      <c r="M680" s="13">
        <v>172</v>
      </c>
      <c r="N680" s="13">
        <v>2</v>
      </c>
      <c r="O680" s="15"/>
      <c r="P680" s="6">
        <v>43154.725277777776</v>
      </c>
      <c r="Q680" s="16" t="s">
        <v>2706</v>
      </c>
      <c r="R680" s="17" t="s">
        <v>2707</v>
      </c>
      <c r="S680" s="12"/>
      <c r="T680" s="12"/>
      <c r="U680" s="10" t="str">
        <f>HYPERLINK("https://pbs.twimg.com/profile_images/970776429129621505/RDdtWCz4.jpg","View")</f>
        <v>View</v>
      </c>
    </row>
    <row r="681" spans="1:21" ht="51">
      <c r="A681" s="6">
        <v>43441.894976851851</v>
      </c>
      <c r="B681" s="7" t="str">
        <f>HYPERLINK("https://twitter.com/Nikibarragan","@Nikibarragan")</f>
        <v>@Nikibarragan</v>
      </c>
      <c r="C681" s="8" t="s">
        <v>2708</v>
      </c>
      <c r="D681" s="9" t="s">
        <v>2709</v>
      </c>
      <c r="E681" s="10" t="str">
        <f>HYPERLINK("https://twitter.com/Nikibarragan/status/1071139475827425281","1071139475827425281")</f>
        <v>1071139475827425281</v>
      </c>
      <c r="F681" s="11" t="s">
        <v>2710</v>
      </c>
      <c r="G681" s="12"/>
      <c r="H681" s="12"/>
      <c r="I681" s="13">
        <v>0</v>
      </c>
      <c r="J681" s="13">
        <v>0</v>
      </c>
      <c r="K681" s="14" t="str">
        <f t="shared" ref="K681:K682" si="123">HYPERLINK("http://twitter.com/download/android","Twitter for Android")</f>
        <v>Twitter for Android</v>
      </c>
      <c r="L681" s="13">
        <v>208</v>
      </c>
      <c r="M681" s="13">
        <v>523</v>
      </c>
      <c r="N681" s="13">
        <v>1</v>
      </c>
      <c r="O681" s="15"/>
      <c r="P681" s="6">
        <v>40817.826192129629</v>
      </c>
      <c r="Q681" s="12"/>
      <c r="R681" s="19"/>
      <c r="S681" s="12"/>
      <c r="T681" s="12"/>
      <c r="U681" s="10" t="str">
        <f>HYPERLINK("https://pbs.twimg.com/profile_images/1584770520/333848_2309694915626_1646945379_2358164_588033269_o.jpg","View")</f>
        <v>View</v>
      </c>
    </row>
    <row r="682" spans="1:21" ht="13.2">
      <c r="A682" s="6">
        <v>43441.893414351856</v>
      </c>
      <c r="B682" s="7" t="str">
        <f>HYPERLINK("https://twitter.com/TNylaya","@TNylaya")</f>
        <v>@TNylaya</v>
      </c>
      <c r="C682" s="8" t="s">
        <v>2711</v>
      </c>
      <c r="D682" s="9" t="s">
        <v>1175</v>
      </c>
      <c r="E682" s="10" t="str">
        <f>HYPERLINK("https://twitter.com/TNylaya/status/1071138911026601985","1071138911026601985")</f>
        <v>1071138911026601985</v>
      </c>
      <c r="F682" s="11" t="s">
        <v>1176</v>
      </c>
      <c r="G682" s="12"/>
      <c r="H682" s="12"/>
      <c r="I682" s="13">
        <v>0</v>
      </c>
      <c r="J682" s="13">
        <v>0</v>
      </c>
      <c r="K682" s="14" t="str">
        <f t="shared" si="123"/>
        <v>Twitter for Android</v>
      </c>
      <c r="L682" s="13">
        <v>129</v>
      </c>
      <c r="M682" s="13">
        <v>292</v>
      </c>
      <c r="N682" s="13">
        <v>1</v>
      </c>
      <c r="O682" s="15"/>
      <c r="P682" s="6">
        <v>43373.076354166667</v>
      </c>
      <c r="Q682" s="12"/>
      <c r="R682" s="17" t="s">
        <v>2712</v>
      </c>
      <c r="S682" s="12"/>
      <c r="T682" s="12"/>
      <c r="U682" s="10" t="str">
        <f>HYPERLINK("https://pbs.twimg.com/profile_images/1046188819358322689/x_yItWiC.jpg","View")</f>
        <v>View</v>
      </c>
    </row>
    <row r="683" spans="1:21" ht="30.6">
      <c r="A683" s="6">
        <v>43441.891053240739</v>
      </c>
      <c r="B683" s="7" t="str">
        <f>HYPERLINK("https://twitter.com/M50manuM","@M50manuM")</f>
        <v>@M50manuM</v>
      </c>
      <c r="C683" s="8" t="s">
        <v>2002</v>
      </c>
      <c r="D683" s="9" t="s">
        <v>2713</v>
      </c>
      <c r="E683" s="10" t="str">
        <f>HYPERLINK("https://twitter.com/M50manuM/status/1071138053954174981","1071138053954174981")</f>
        <v>1071138053954174981</v>
      </c>
      <c r="F683" s="11" t="s">
        <v>2714</v>
      </c>
      <c r="G683" s="12"/>
      <c r="H683" s="12"/>
      <c r="I683" s="13">
        <v>0</v>
      </c>
      <c r="J683" s="13">
        <v>0</v>
      </c>
      <c r="K683" s="14" t="str">
        <f>HYPERLINK("http://www.crowdfireapp.com","Crowdfire - Go Big")</f>
        <v>Crowdfire - Go Big</v>
      </c>
      <c r="L683" s="13">
        <v>1173</v>
      </c>
      <c r="M683" s="13">
        <v>744</v>
      </c>
      <c r="N683" s="13">
        <v>11</v>
      </c>
      <c r="O683" s="15"/>
      <c r="P683" s="6">
        <v>41909.907349537039</v>
      </c>
      <c r="Q683" s="12"/>
      <c r="R683" s="17" t="s">
        <v>2005</v>
      </c>
      <c r="S683" s="12"/>
      <c r="T683" s="12"/>
      <c r="U683" s="10" t="str">
        <f>HYPERLINK("https://pbs.twimg.com/profile_images/953691202829914112/i-WleAQY.jpg","View")</f>
        <v>View</v>
      </c>
    </row>
    <row r="684" spans="1:21" ht="13.2">
      <c r="A684" s="6">
        <v>43441.890405092592</v>
      </c>
      <c r="B684" s="7" t="str">
        <f>HYPERLINK("https://twitter.com/diazlorena234","@diazlorena234")</f>
        <v>@diazlorena234</v>
      </c>
      <c r="C684" s="8" t="s">
        <v>2715</v>
      </c>
      <c r="D684" s="9" t="s">
        <v>2716</v>
      </c>
      <c r="E684" s="10" t="str">
        <f>HYPERLINK("https://twitter.com/diazlorena234/status/1071137819853238272","1071137819853238272")</f>
        <v>1071137819853238272</v>
      </c>
      <c r="F684" s="11" t="s">
        <v>2717</v>
      </c>
      <c r="G684" s="12"/>
      <c r="H684" s="12"/>
      <c r="I684" s="13">
        <v>0</v>
      </c>
      <c r="J684" s="13">
        <v>0</v>
      </c>
      <c r="K684" s="14" t="str">
        <f t="shared" ref="K684:K685" si="124">HYPERLINK("http://twitter.com","Twitter Web Client")</f>
        <v>Twitter Web Client</v>
      </c>
      <c r="L684" s="13">
        <v>2150</v>
      </c>
      <c r="M684" s="13">
        <v>4582</v>
      </c>
      <c r="N684" s="13">
        <v>5</v>
      </c>
      <c r="O684" s="15"/>
      <c r="P684" s="6">
        <v>42489.030752314815</v>
      </c>
      <c r="Q684" s="12"/>
      <c r="R684" s="19"/>
      <c r="S684" s="12"/>
      <c r="T684" s="12"/>
      <c r="U684" s="10" t="str">
        <f>HYPERLINK("https://pbs.twimg.com/profile_images/1070151673216200704/9P8dPVWF.jpg","View")</f>
        <v>View</v>
      </c>
    </row>
    <row r="685" spans="1:21" ht="20.399999999999999">
      <c r="A685" s="6">
        <v>43441.889212962968</v>
      </c>
      <c r="B685" s="7" t="str">
        <f>HYPERLINK("https://twitter.com/begoa36","@begoa36")</f>
        <v>@begoa36</v>
      </c>
      <c r="C685" s="8" t="s">
        <v>1748</v>
      </c>
      <c r="D685" s="9" t="s">
        <v>2241</v>
      </c>
      <c r="E685" s="10" t="str">
        <f>HYPERLINK("https://twitter.com/begoa36/status/1071137388049678337","1071137388049678337")</f>
        <v>1071137388049678337</v>
      </c>
      <c r="F685" s="11" t="s">
        <v>2242</v>
      </c>
      <c r="G685" s="12"/>
      <c r="H685" s="12"/>
      <c r="I685" s="13">
        <v>11</v>
      </c>
      <c r="J685" s="13">
        <v>9</v>
      </c>
      <c r="K685" s="14" t="str">
        <f t="shared" si="124"/>
        <v>Twitter Web Client</v>
      </c>
      <c r="L685" s="13">
        <v>284</v>
      </c>
      <c r="M685" s="13">
        <v>112</v>
      </c>
      <c r="N685" s="13">
        <v>4</v>
      </c>
      <c r="O685" s="15"/>
      <c r="P685" s="6">
        <v>40806.829166666663</v>
      </c>
      <c r="Q685" s="16" t="s">
        <v>1750</v>
      </c>
      <c r="R685" s="19"/>
      <c r="S685" s="12"/>
      <c r="T685" s="12"/>
      <c r="U685" s="10" t="str">
        <f>HYPERLINK("https://pbs.twimg.com/profile_images/1039993218191044609/uHWsP2m8.jpg","View")</f>
        <v>View</v>
      </c>
    </row>
    <row r="686" spans="1:21" ht="81.599999999999994">
      <c r="A686" s="6">
        <v>43441.888981481483</v>
      </c>
      <c r="B686" s="7" t="str">
        <f>HYPERLINK("https://twitter.com/Autonomo_Soy","@Autonomo_Soy")</f>
        <v>@Autonomo_Soy</v>
      </c>
      <c r="C686" s="8" t="s">
        <v>2718</v>
      </c>
      <c r="D686" s="9" t="s">
        <v>2719</v>
      </c>
      <c r="E686" s="10" t="str">
        <f>HYPERLINK("https://twitter.com/Autonomo_Soy/status/1071137302058029057","1071137302058029057")</f>
        <v>1071137302058029057</v>
      </c>
      <c r="F686" s="11" t="s">
        <v>54</v>
      </c>
      <c r="G686" s="11" t="s">
        <v>55</v>
      </c>
      <c r="H686" s="12"/>
      <c r="I686" s="13">
        <v>0</v>
      </c>
      <c r="J686" s="13">
        <v>0</v>
      </c>
      <c r="K686" s="14" t="str">
        <f t="shared" ref="K686:K688" si="125">HYPERLINK("http://twitter.com/download/android","Twitter for Android")</f>
        <v>Twitter for Android</v>
      </c>
      <c r="L686" s="13">
        <v>1506</v>
      </c>
      <c r="M686" s="13">
        <v>1849</v>
      </c>
      <c r="N686" s="13">
        <v>6</v>
      </c>
      <c r="O686" s="15"/>
      <c r="P686" s="6">
        <v>41206.620185185187</v>
      </c>
      <c r="Q686" s="16" t="s">
        <v>2720</v>
      </c>
      <c r="R686" s="17" t="s">
        <v>2721</v>
      </c>
      <c r="S686" s="12"/>
      <c r="T686" s="12"/>
      <c r="U686" s="10" t="str">
        <f>HYPERLINK("https://pbs.twimg.com/profile_images/1069705760458846208/S3x_ItvI.jpg","View")</f>
        <v>View</v>
      </c>
    </row>
    <row r="687" spans="1:21" ht="30.6">
      <c r="A687" s="6">
        <v>43441.888067129628</v>
      </c>
      <c r="B687" s="7" t="str">
        <f>HYPERLINK("https://twitter.com/ascengm","@ascengm")</f>
        <v>@ascengm</v>
      </c>
      <c r="C687" s="8" t="s">
        <v>2722</v>
      </c>
      <c r="D687" s="9" t="s">
        <v>2723</v>
      </c>
      <c r="E687" s="10" t="str">
        <f>HYPERLINK("https://twitter.com/ascengm/status/1071136972025028615","1071136972025028615")</f>
        <v>1071136972025028615</v>
      </c>
      <c r="F687" s="11" t="s">
        <v>2724</v>
      </c>
      <c r="G687" s="12"/>
      <c r="H687" s="12"/>
      <c r="I687" s="13">
        <v>0</v>
      </c>
      <c r="J687" s="13">
        <v>0</v>
      </c>
      <c r="K687" s="14" t="str">
        <f t="shared" si="125"/>
        <v>Twitter for Android</v>
      </c>
      <c r="L687" s="13">
        <v>646</v>
      </c>
      <c r="M687" s="13">
        <v>513</v>
      </c>
      <c r="N687" s="13">
        <v>12</v>
      </c>
      <c r="O687" s="15"/>
      <c r="P687" s="6">
        <v>41295.784224537041</v>
      </c>
      <c r="Q687" s="16" t="s">
        <v>2725</v>
      </c>
      <c r="R687" s="17" t="s">
        <v>2726</v>
      </c>
      <c r="S687" s="12"/>
      <c r="T687" s="12"/>
      <c r="U687" s="10" t="str">
        <f>HYPERLINK("https://pbs.twimg.com/profile_images/1050451371500204032/hECgLNGO.jpg","View")</f>
        <v>View</v>
      </c>
    </row>
    <row r="688" spans="1:21" ht="13.2">
      <c r="A688" s="6">
        <v>43441.887638888889</v>
      </c>
      <c r="B688" s="7" t="str">
        <f>HYPERLINK("https://twitter.com/espegalindo","@espegalindo")</f>
        <v>@espegalindo</v>
      </c>
      <c r="C688" s="8" t="s">
        <v>2727</v>
      </c>
      <c r="D688" s="9" t="s">
        <v>1175</v>
      </c>
      <c r="E688" s="10" t="str">
        <f>HYPERLINK("https://twitter.com/espegalindo/status/1071136815506169856","1071136815506169856")</f>
        <v>1071136815506169856</v>
      </c>
      <c r="F688" s="11" t="s">
        <v>1176</v>
      </c>
      <c r="G688" s="12"/>
      <c r="H688" s="12"/>
      <c r="I688" s="13">
        <v>0</v>
      </c>
      <c r="J688" s="13">
        <v>0</v>
      </c>
      <c r="K688" s="14" t="str">
        <f t="shared" si="125"/>
        <v>Twitter for Android</v>
      </c>
      <c r="L688" s="13">
        <v>85</v>
      </c>
      <c r="M688" s="13">
        <v>114</v>
      </c>
      <c r="N688" s="13">
        <v>3</v>
      </c>
      <c r="O688" s="15"/>
      <c r="P688" s="6">
        <v>39837.930104166662</v>
      </c>
      <c r="Q688" s="16" t="s">
        <v>367</v>
      </c>
      <c r="R688" s="23" t="s">
        <v>2728</v>
      </c>
      <c r="S688" s="11" t="s">
        <v>2729</v>
      </c>
      <c r="T688" s="12"/>
      <c r="U688" s="10" t="str">
        <f>HYPERLINK("https://pbs.twimg.com/profile_images/1627626788/autorretrato2peqmini.jpg","View")</f>
        <v>View</v>
      </c>
    </row>
    <row r="689" spans="1:21" ht="20.399999999999999">
      <c r="A689" s="6">
        <v>43441.88680555555</v>
      </c>
      <c r="B689" s="7" t="str">
        <f>HYPERLINK("https://twitter.com/futbolsuperfans","@futbolsuperfans")</f>
        <v>@futbolsuperfans</v>
      </c>
      <c r="C689" s="8" t="s">
        <v>2730</v>
      </c>
      <c r="D689" s="9" t="s">
        <v>2731</v>
      </c>
      <c r="E689" s="10" t="str">
        <f>HYPERLINK("https://twitter.com/futbolsuperfans/status/1071136516272021504","1071136516272021504")</f>
        <v>1071136516272021504</v>
      </c>
      <c r="F689" s="11" t="s">
        <v>2732</v>
      </c>
      <c r="G689" s="12"/>
      <c r="H689" s="12"/>
      <c r="I689" s="13">
        <v>0</v>
      </c>
      <c r="J689" s="13">
        <v>0</v>
      </c>
      <c r="K689" s="14" t="str">
        <f>HYPERLINK("https://buffer.com","Buffer")</f>
        <v>Buffer</v>
      </c>
      <c r="L689" s="13">
        <v>3969</v>
      </c>
      <c r="M689" s="13">
        <v>151</v>
      </c>
      <c r="N689" s="13">
        <v>26</v>
      </c>
      <c r="O689" s="15"/>
      <c r="P689" s="6">
        <v>41744.907349537039</v>
      </c>
      <c r="Q689" s="12"/>
      <c r="R689" s="17" t="s">
        <v>2733</v>
      </c>
      <c r="S689" s="12"/>
      <c r="T689" s="12"/>
      <c r="U689" s="10" t="str">
        <f>HYPERLINK("https://pbs.twimg.com/profile_images/456157952953430016/8zCrDIb-.jpeg","View")</f>
        <v>View</v>
      </c>
    </row>
    <row r="690" spans="1:21" ht="51">
      <c r="A690" s="6">
        <v>43441.886782407411</v>
      </c>
      <c r="B690" s="7" t="str">
        <f>HYPERLINK("https://twitter.com/fidelvela","@fidelvela")</f>
        <v>@fidelvela</v>
      </c>
      <c r="C690" s="8" t="s">
        <v>2734</v>
      </c>
      <c r="D690" s="9" t="s">
        <v>2735</v>
      </c>
      <c r="E690" s="10" t="str">
        <f>HYPERLINK("https://twitter.com/fidelvela/status/1071136505563922432","1071136505563922432")</f>
        <v>1071136505563922432</v>
      </c>
      <c r="F690" s="12"/>
      <c r="G690" s="12"/>
      <c r="H690" s="12"/>
      <c r="I690" s="13">
        <v>0</v>
      </c>
      <c r="J690" s="13">
        <v>1</v>
      </c>
      <c r="K690" s="14" t="str">
        <f>HYPERLINK("http://twitter.com","Twitter Web Client")</f>
        <v>Twitter Web Client</v>
      </c>
      <c r="L690" s="13">
        <v>41</v>
      </c>
      <c r="M690" s="13">
        <v>23</v>
      </c>
      <c r="N690" s="13">
        <v>3</v>
      </c>
      <c r="O690" s="15"/>
      <c r="P690" s="6">
        <v>40258.703321759262</v>
      </c>
      <c r="Q690" s="16" t="s">
        <v>505</v>
      </c>
      <c r="R690" s="17" t="s">
        <v>2736</v>
      </c>
      <c r="S690" s="11" t="s">
        <v>2737</v>
      </c>
      <c r="T690" s="12"/>
      <c r="U690" s="10" t="str">
        <f>HYPERLINK("https://pbs.twimg.com/profile_images/766192259/Figura8.jpg","View")</f>
        <v>View</v>
      </c>
    </row>
    <row r="691" spans="1:21" ht="91.8">
      <c r="A691" s="6">
        <v>43441.886377314819</v>
      </c>
      <c r="B691" s="7" t="str">
        <f>HYPERLINK("https://twitter.com/PepitaMenaMart1","@PepitaMenaMart1")</f>
        <v>@PepitaMenaMart1</v>
      </c>
      <c r="C691" s="8" t="s">
        <v>2188</v>
      </c>
      <c r="D691" s="9" t="s">
        <v>2738</v>
      </c>
      <c r="E691" s="10" t="str">
        <f>HYPERLINK("https://twitter.com/PepitaMenaMart1/status/1071136361233698822","1071136361233698822")</f>
        <v>1071136361233698822</v>
      </c>
      <c r="F691" s="11" t="s">
        <v>2739</v>
      </c>
      <c r="G691" s="11" t="s">
        <v>2740</v>
      </c>
      <c r="H691" s="12"/>
      <c r="I691" s="13">
        <v>1</v>
      </c>
      <c r="J691" s="13">
        <v>5</v>
      </c>
      <c r="K691" s="14" t="str">
        <f>HYPERLINK("http://twitter.com/download/android","Twitter for Android")</f>
        <v>Twitter for Android</v>
      </c>
      <c r="L691" s="13">
        <v>437</v>
      </c>
      <c r="M691" s="13">
        <v>350</v>
      </c>
      <c r="N691" s="13">
        <v>1</v>
      </c>
      <c r="O691" s="15"/>
      <c r="P691" s="6">
        <v>43124.888506944444</v>
      </c>
      <c r="Q691" s="16" t="s">
        <v>2190</v>
      </c>
      <c r="R691" s="17" t="s">
        <v>2191</v>
      </c>
      <c r="S691" s="12"/>
      <c r="T691" s="12"/>
      <c r="U691" s="10" t="str">
        <f>HYPERLINK("https://pbs.twimg.com/profile_images/1053410905311064064/xChXdA8v.jpg","View")</f>
        <v>View</v>
      </c>
    </row>
    <row r="692" spans="1:21" ht="20.399999999999999">
      <c r="A692" s="6">
        <v>43441.885520833333</v>
      </c>
      <c r="B692" s="7" t="str">
        <f>HYPERLINK("https://twitter.com/CONCHA_ZARAGOZA","@CONCHA_ZARAGOZA")</f>
        <v>@CONCHA_ZARAGOZA</v>
      </c>
      <c r="C692" s="8" t="s">
        <v>2741</v>
      </c>
      <c r="D692" s="9" t="s">
        <v>2742</v>
      </c>
      <c r="E692" s="10" t="str">
        <f>HYPERLINK("https://twitter.com/CONCHA_ZARAGOZA/status/1071136048053477379","1071136048053477379")</f>
        <v>1071136048053477379</v>
      </c>
      <c r="F692" s="11" t="s">
        <v>2743</v>
      </c>
      <c r="G692" s="12"/>
      <c r="H692" s="12"/>
      <c r="I692" s="13">
        <v>3</v>
      </c>
      <c r="J692" s="13">
        <v>5</v>
      </c>
      <c r="K692" s="14" t="str">
        <f>HYPERLINK("http://twitter.com","Twitter Web Client")</f>
        <v>Twitter Web Client</v>
      </c>
      <c r="L692" s="13">
        <v>3027</v>
      </c>
      <c r="M692" s="13">
        <v>3369</v>
      </c>
      <c r="N692" s="13">
        <v>80</v>
      </c>
      <c r="O692" s="15"/>
      <c r="P692" s="6">
        <v>40772.991435185184</v>
      </c>
      <c r="Q692" s="16" t="s">
        <v>2744</v>
      </c>
      <c r="R692" s="17" t="s">
        <v>2745</v>
      </c>
      <c r="S692" s="12"/>
      <c r="T692" s="12"/>
      <c r="U692" s="10" t="str">
        <f>HYPERLINK("https://pbs.twimg.com/profile_images/881951172659204097/qzahdlGI.jpg","View")</f>
        <v>View</v>
      </c>
    </row>
    <row r="693" spans="1:21" ht="40.799999999999997">
      <c r="A693" s="6">
        <v>43441.884629629625</v>
      </c>
      <c r="B693" s="7" t="str">
        <f>HYPERLINK("https://twitter.com/PdeSamos","@PdeSamos")</f>
        <v>@PdeSamos</v>
      </c>
      <c r="C693" s="8" t="s">
        <v>1193</v>
      </c>
      <c r="D693" s="9" t="s">
        <v>2746</v>
      </c>
      <c r="E693" s="10" t="str">
        <f>HYPERLINK("https://twitter.com/PdeSamos/status/1071135727994499075","1071135727994499075")</f>
        <v>1071135727994499075</v>
      </c>
      <c r="F693" s="11" t="s">
        <v>2747</v>
      </c>
      <c r="G693" s="12"/>
      <c r="H693" s="12"/>
      <c r="I693" s="13">
        <v>0</v>
      </c>
      <c r="J693" s="13">
        <v>0</v>
      </c>
      <c r="K693" s="14" t="str">
        <f>HYPERLINK("http://republico.ddns.net","App Libertad PdeSamos")</f>
        <v>App Libertad PdeSamos</v>
      </c>
      <c r="L693" s="13">
        <v>5398</v>
      </c>
      <c r="M693" s="13">
        <v>5441</v>
      </c>
      <c r="N693" s="13">
        <v>12</v>
      </c>
      <c r="O693" s="15"/>
      <c r="P693" s="6">
        <v>42889.820567129631</v>
      </c>
      <c r="Q693" s="16" t="s">
        <v>1198</v>
      </c>
      <c r="R693" s="17" t="s">
        <v>1199</v>
      </c>
      <c r="S693" s="12"/>
      <c r="T693" s="12"/>
      <c r="U693" s="10" t="str">
        <f>HYPERLINK("https://pbs.twimg.com/profile_images/871063742003511296/xK2IYbrO.jpg","View")</f>
        <v>View</v>
      </c>
    </row>
    <row r="694" spans="1:21" ht="40.799999999999997">
      <c r="A694" s="6">
        <v>43441.884062500001</v>
      </c>
      <c r="B694" s="7" t="str">
        <f>HYPERLINK("https://twitter.com/VicentVG","@VicentVG")</f>
        <v>@VicentVG</v>
      </c>
      <c r="C694" s="8" t="s">
        <v>2748</v>
      </c>
      <c r="D694" s="9" t="s">
        <v>2749</v>
      </c>
      <c r="E694" s="10" t="str">
        <f>HYPERLINK("https://twitter.com/VicentVG/status/1071135522121285634","1071135522121285634")</f>
        <v>1071135522121285634</v>
      </c>
      <c r="F694" s="11" t="s">
        <v>398</v>
      </c>
      <c r="G694" s="12"/>
      <c r="H694" s="12"/>
      <c r="I694" s="13">
        <v>4</v>
      </c>
      <c r="J694" s="13">
        <v>8</v>
      </c>
      <c r="K694" s="14" t="str">
        <f>HYPERLINK("http://www.facebook.com/twitter","Facebook")</f>
        <v>Facebook</v>
      </c>
      <c r="L694" s="13">
        <v>3087</v>
      </c>
      <c r="M694" s="13">
        <v>3248</v>
      </c>
      <c r="N694" s="13">
        <v>75</v>
      </c>
      <c r="O694" s="15"/>
      <c r="P694" s="6">
        <v>40546.790405092594</v>
      </c>
      <c r="Q694" s="16" t="s">
        <v>228</v>
      </c>
      <c r="R694" s="17" t="s">
        <v>2750</v>
      </c>
      <c r="S694" s="11" t="s">
        <v>2751</v>
      </c>
      <c r="T694" s="12"/>
      <c r="U694" s="10" t="str">
        <f>HYPERLINK("https://pbs.twimg.com/profile_images/1026851693009494022/gUXZtQzB.jpg","View")</f>
        <v>View</v>
      </c>
    </row>
    <row r="695" spans="1:21" ht="71.400000000000006">
      <c r="A695" s="6">
        <v>43441.881967592592</v>
      </c>
      <c r="B695" s="7" t="str">
        <f>HYPERLINK("https://twitter.com/RSalinasE1","@RSalinasE1")</f>
        <v>@RSalinasE1</v>
      </c>
      <c r="C695" s="8" t="s">
        <v>2752</v>
      </c>
      <c r="D695" s="9" t="s">
        <v>2753</v>
      </c>
      <c r="E695" s="10" t="str">
        <f>HYPERLINK("https://twitter.com/RSalinasE1/status/1071134759697432576","1071134759697432576")</f>
        <v>1071134759697432576</v>
      </c>
      <c r="F695" s="11" t="s">
        <v>2754</v>
      </c>
      <c r="G695" s="11" t="s">
        <v>2755</v>
      </c>
      <c r="H695" s="12"/>
      <c r="I695" s="13">
        <v>0</v>
      </c>
      <c r="J695" s="13">
        <v>0</v>
      </c>
      <c r="K695" s="14" t="str">
        <f>HYPERLINK("http://twitter.com/download/iphone","Twitter for iPhone")</f>
        <v>Twitter for iPhone</v>
      </c>
      <c r="L695" s="13">
        <v>79</v>
      </c>
      <c r="M695" s="13">
        <v>249</v>
      </c>
      <c r="N695" s="13">
        <v>0</v>
      </c>
      <c r="O695" s="15"/>
      <c r="P695" s="6">
        <v>40866.957766203705</v>
      </c>
      <c r="Q695" s="12"/>
      <c r="R695" s="19"/>
      <c r="S695" s="12"/>
      <c r="T695" s="12"/>
      <c r="U695" s="10" t="str">
        <f>HYPERLINK("https://pbs.twimg.com/profile_images/1647402115/image.jpg","View")</f>
        <v>View</v>
      </c>
    </row>
    <row r="696" spans="1:21" ht="20.399999999999999">
      <c r="A696" s="6">
        <v>43441.881666666668</v>
      </c>
      <c r="B696" s="7" t="str">
        <f>HYPERLINK("https://twitter.com/EP_Mundo","@EP_Mundo")</f>
        <v>@EP_Mundo</v>
      </c>
      <c r="C696" s="8" t="s">
        <v>735</v>
      </c>
      <c r="D696" s="9" t="s">
        <v>2756</v>
      </c>
      <c r="E696" s="10" t="str">
        <f>HYPERLINK("https://twitter.com/EP_Mundo/status/1071134652679770113","1071134652679770113")</f>
        <v>1071134652679770113</v>
      </c>
      <c r="F696" s="11" t="s">
        <v>2757</v>
      </c>
      <c r="G696" s="11" t="s">
        <v>2758</v>
      </c>
      <c r="H696" s="12"/>
      <c r="I696" s="13">
        <v>0</v>
      </c>
      <c r="J696" s="13">
        <v>0</v>
      </c>
      <c r="K696" s="14" t="str">
        <f>HYPERLINK("http://epmundo.com","Tuiteo TOP EP (2)")</f>
        <v>Tuiteo TOP EP (2)</v>
      </c>
      <c r="L696" s="13">
        <v>510220</v>
      </c>
      <c r="M696" s="13">
        <v>301867</v>
      </c>
      <c r="N696" s="13">
        <v>1363</v>
      </c>
      <c r="O696" s="15"/>
      <c r="P696" s="6">
        <v>40203.223078703704</v>
      </c>
      <c r="Q696" s="12"/>
      <c r="R696" s="17" t="s">
        <v>739</v>
      </c>
      <c r="S696" s="11" t="s">
        <v>740</v>
      </c>
      <c r="T696" s="12"/>
      <c r="U696" s="10" t="str">
        <f>HYPERLINK("https://pbs.twimg.com/profile_images/958329583778099200/87-xiuzB.jpg","View")</f>
        <v>View</v>
      </c>
    </row>
    <row r="697" spans="1:21" ht="20.399999999999999">
      <c r="A697" s="6">
        <v>43441.881423611107</v>
      </c>
      <c r="B697" s="7" t="str">
        <f>HYPERLINK("https://twitter.com/MVidaller","@MVidaller")</f>
        <v>@MVidaller</v>
      </c>
      <c r="C697" s="8" t="s">
        <v>2759</v>
      </c>
      <c r="D697" s="9" t="s">
        <v>1780</v>
      </c>
      <c r="E697" s="10" t="str">
        <f>HYPERLINK("https://twitter.com/MVidaller/status/1071134563303350278","1071134563303350278")</f>
        <v>1071134563303350278</v>
      </c>
      <c r="F697" s="11" t="s">
        <v>1781</v>
      </c>
      <c r="G697" s="12"/>
      <c r="H697" s="12"/>
      <c r="I697" s="13">
        <v>0</v>
      </c>
      <c r="J697" s="13">
        <v>0</v>
      </c>
      <c r="K697" s="14" t="str">
        <f t="shared" ref="K697:K698" si="126">HYPERLINK("http://twitter.com","Twitter Web Client")</f>
        <v>Twitter Web Client</v>
      </c>
      <c r="L697" s="13">
        <v>422</v>
      </c>
      <c r="M697" s="13">
        <v>2278</v>
      </c>
      <c r="N697" s="13">
        <v>6</v>
      </c>
      <c r="O697" s="15"/>
      <c r="P697" s="6">
        <v>40922.855300925927</v>
      </c>
      <c r="Q697" s="16" t="s">
        <v>781</v>
      </c>
      <c r="R697" s="17" t="s">
        <v>2760</v>
      </c>
      <c r="S697" s="12"/>
      <c r="T697" s="12"/>
      <c r="U697" s="10" t="str">
        <f>HYPERLINK("https://pbs.twimg.com/profile_images/921120763096305664/dKmjiWJU.jpg","View")</f>
        <v>View</v>
      </c>
    </row>
    <row r="698" spans="1:21" ht="61.2">
      <c r="A698" s="6">
        <v>43441.880752314813</v>
      </c>
      <c r="B698" s="7" t="str">
        <f>HYPERLINK("https://twitter.com/Galbendeap","@Galbendeap")</f>
        <v>@Galbendeap</v>
      </c>
      <c r="C698" s="8" t="s">
        <v>2761</v>
      </c>
      <c r="D698" s="9" t="s">
        <v>2762</v>
      </c>
      <c r="E698" s="10" t="str">
        <f>HYPERLINK("https://twitter.com/Galbendeap/status/1071134323074576384","1071134323074576384")</f>
        <v>1071134323074576384</v>
      </c>
      <c r="F698" s="16" t="s">
        <v>2763</v>
      </c>
      <c r="G698" s="12"/>
      <c r="H698" s="12"/>
      <c r="I698" s="13">
        <v>0</v>
      </c>
      <c r="J698" s="13">
        <v>0</v>
      </c>
      <c r="K698" s="14" t="str">
        <f t="shared" si="126"/>
        <v>Twitter Web Client</v>
      </c>
      <c r="L698" s="13">
        <v>325</v>
      </c>
      <c r="M698" s="13">
        <v>738</v>
      </c>
      <c r="N698" s="13">
        <v>9</v>
      </c>
      <c r="O698" s="15"/>
      <c r="P698" s="6">
        <v>41731.874918981484</v>
      </c>
      <c r="Q698" s="16" t="s">
        <v>1491</v>
      </c>
      <c r="R698" s="17" t="s">
        <v>2764</v>
      </c>
      <c r="S698" s="11" t="s">
        <v>2765</v>
      </c>
      <c r="T698" s="12"/>
      <c r="U698" s="10" t="str">
        <f>HYPERLINK("https://pbs.twimg.com/profile_images/938487191843561472/-LPBTm6p.jpg","View")</f>
        <v>View</v>
      </c>
    </row>
    <row r="699" spans="1:21" ht="30.6">
      <c r="A699" s="6">
        <v>43441.878240740742</v>
      </c>
      <c r="B699" s="7" t="str">
        <f>HYPERLINK("https://twitter.com/hummusygazpacho","@hummusygazpacho")</f>
        <v>@hummusygazpacho</v>
      </c>
      <c r="C699" s="8" t="s">
        <v>2766</v>
      </c>
      <c r="D699" s="9" t="s">
        <v>2767</v>
      </c>
      <c r="E699" s="10" t="str">
        <f>HYPERLINK("https://twitter.com/hummusygazpacho/status/1071133411476168706","1071133411476168706")</f>
        <v>1071133411476168706</v>
      </c>
      <c r="F699" s="12"/>
      <c r="G699" s="12"/>
      <c r="H699" s="12"/>
      <c r="I699" s="13">
        <v>0</v>
      </c>
      <c r="J699" s="13">
        <v>0</v>
      </c>
      <c r="K699" s="14" t="str">
        <f t="shared" ref="K699:K701" si="127">HYPERLINK("http://twitter.com/download/android","Twitter for Android")</f>
        <v>Twitter for Android</v>
      </c>
      <c r="L699" s="13">
        <v>36</v>
      </c>
      <c r="M699" s="13">
        <v>128</v>
      </c>
      <c r="N699" s="13">
        <v>0</v>
      </c>
      <c r="O699" s="15"/>
      <c r="P699" s="6">
        <v>43323.619155092594</v>
      </c>
      <c r="Q699" s="16" t="s">
        <v>2768</v>
      </c>
      <c r="R699" s="17" t="s">
        <v>2769</v>
      </c>
      <c r="S699" s="11" t="s">
        <v>2770</v>
      </c>
      <c r="T699" s="12"/>
      <c r="U699" s="10" t="str">
        <f>HYPERLINK("https://pbs.twimg.com/profile_images/1064125443408871424/ZkMODWwr.jpg","View")</f>
        <v>View</v>
      </c>
    </row>
    <row r="700" spans="1:21" ht="102">
      <c r="A700" s="6">
        <v>43441.877974537041</v>
      </c>
      <c r="B700" s="7" t="str">
        <f>HYPERLINK("https://twitter.com/PepitaMenaMart1","@PepitaMenaMart1")</f>
        <v>@PepitaMenaMart1</v>
      </c>
      <c r="C700" s="8" t="s">
        <v>2188</v>
      </c>
      <c r="D700" s="9" t="s">
        <v>2771</v>
      </c>
      <c r="E700" s="10" t="str">
        <f>HYPERLINK("https://twitter.com/PepitaMenaMart1/status/1071133315774730240","1071133315774730240")</f>
        <v>1071133315774730240</v>
      </c>
      <c r="F700" s="11" t="s">
        <v>2772</v>
      </c>
      <c r="G700" s="11" t="s">
        <v>2773</v>
      </c>
      <c r="H700" s="12"/>
      <c r="I700" s="13">
        <v>0</v>
      </c>
      <c r="J700" s="13">
        <v>0</v>
      </c>
      <c r="K700" s="14" t="str">
        <f t="shared" si="127"/>
        <v>Twitter for Android</v>
      </c>
      <c r="L700" s="13">
        <v>437</v>
      </c>
      <c r="M700" s="13">
        <v>350</v>
      </c>
      <c r="N700" s="13">
        <v>1</v>
      </c>
      <c r="O700" s="15"/>
      <c r="P700" s="6">
        <v>43124.888506944444</v>
      </c>
      <c r="Q700" s="16" t="s">
        <v>2190</v>
      </c>
      <c r="R700" s="17" t="s">
        <v>2191</v>
      </c>
      <c r="S700" s="12"/>
      <c r="T700" s="12"/>
      <c r="U700" s="10" t="str">
        <f>HYPERLINK("https://pbs.twimg.com/profile_images/1053410905311064064/xChXdA8v.jpg","View")</f>
        <v>View</v>
      </c>
    </row>
    <row r="701" spans="1:21" ht="30.6">
      <c r="A701" s="6">
        <v>43441.872013888889</v>
      </c>
      <c r="B701" s="7" t="str">
        <f>HYPERLINK("https://twitter.com/miguelricNAV","@miguelricNAV")</f>
        <v>@miguelricNAV</v>
      </c>
      <c r="C701" s="8" t="s">
        <v>2774</v>
      </c>
      <c r="D701" s="9" t="s">
        <v>2775</v>
      </c>
      <c r="E701" s="10" t="str">
        <f>HYPERLINK("https://twitter.com/miguelricNAV/status/1071131154420502528","1071131154420502528")</f>
        <v>1071131154420502528</v>
      </c>
      <c r="F701" s="11" t="s">
        <v>2776</v>
      </c>
      <c r="G701" s="12"/>
      <c r="H701" s="12"/>
      <c r="I701" s="13">
        <v>0</v>
      </c>
      <c r="J701" s="13">
        <v>0</v>
      </c>
      <c r="K701" s="14" t="str">
        <f t="shared" si="127"/>
        <v>Twitter for Android</v>
      </c>
      <c r="L701" s="13">
        <v>3001</v>
      </c>
      <c r="M701" s="13">
        <v>3460</v>
      </c>
      <c r="N701" s="13">
        <v>62</v>
      </c>
      <c r="O701" s="15"/>
      <c r="P701" s="6">
        <v>40453.772037037037</v>
      </c>
      <c r="Q701" s="16" t="s">
        <v>820</v>
      </c>
      <c r="R701" s="17" t="s">
        <v>2777</v>
      </c>
      <c r="S701" s="12"/>
      <c r="T701" s="12"/>
      <c r="U701" s="10" t="str">
        <f>HYPERLINK("https://pbs.twimg.com/profile_images/981602890388328449/W9voNX9J.jpg","View")</f>
        <v>View</v>
      </c>
    </row>
    <row r="702" spans="1:21" ht="20.399999999999999">
      <c r="A702" s="6">
        <v>43441.870937500003</v>
      </c>
      <c r="B702" s="7" t="str">
        <f>HYPERLINK("https://twitter.com/chillanchat","@chillanchat")</f>
        <v>@chillanchat</v>
      </c>
      <c r="C702" s="8" t="s">
        <v>2778</v>
      </c>
      <c r="D702" s="9" t="s">
        <v>1955</v>
      </c>
      <c r="E702" s="10" t="str">
        <f>HYPERLINK("https://twitter.com/chillanchat/status/1071130763838582787","1071130763838582787")</f>
        <v>1071130763838582787</v>
      </c>
      <c r="F702" s="11" t="s">
        <v>114</v>
      </c>
      <c r="G702" s="12"/>
      <c r="H702" s="12"/>
      <c r="I702" s="13">
        <v>0</v>
      </c>
      <c r="J702" s="13">
        <v>1</v>
      </c>
      <c r="K702" s="14" t="str">
        <f t="shared" ref="K702:K704" si="128">HYPERLINK("http://twitter.com","Twitter Web Client")</f>
        <v>Twitter Web Client</v>
      </c>
      <c r="L702" s="13">
        <v>0</v>
      </c>
      <c r="M702" s="13">
        <v>1</v>
      </c>
      <c r="N702" s="13">
        <v>0</v>
      </c>
      <c r="O702" s="15"/>
      <c r="P702" s="6">
        <v>40637.374247685184</v>
      </c>
      <c r="Q702" s="16" t="s">
        <v>2779</v>
      </c>
      <c r="R702" s="19"/>
      <c r="S702" s="12"/>
      <c r="T702" s="12"/>
      <c r="U702" s="10" t="str">
        <f>HYPERLINK("https://pbs.twimg.com/profile_images/959748333320527874/xiXoflG7.jpg","View")</f>
        <v>View</v>
      </c>
    </row>
    <row r="703" spans="1:21" ht="40.799999999999997">
      <c r="A703" s="6">
        <v>43441.870046296295</v>
      </c>
      <c r="B703" s="7" t="str">
        <f>HYPERLINK("https://twitter.com/ElMundoEspana","@ElMundoEspana")</f>
        <v>@ElMundoEspana</v>
      </c>
      <c r="C703" s="8" t="s">
        <v>2780</v>
      </c>
      <c r="D703" s="9" t="s">
        <v>2781</v>
      </c>
      <c r="E703" s="10" t="str">
        <f>HYPERLINK("https://twitter.com/ElMundoEspana/status/1071130442236129280","1071130442236129280")</f>
        <v>1071130442236129280</v>
      </c>
      <c r="F703" s="11" t="s">
        <v>1660</v>
      </c>
      <c r="G703" s="12"/>
      <c r="H703" s="12"/>
      <c r="I703" s="13">
        <v>12</v>
      </c>
      <c r="J703" s="13">
        <v>9</v>
      </c>
      <c r="K703" s="14" t="str">
        <f t="shared" si="128"/>
        <v>Twitter Web Client</v>
      </c>
      <c r="L703" s="13">
        <v>18045</v>
      </c>
      <c r="M703" s="13">
        <v>652</v>
      </c>
      <c r="N703" s="13">
        <v>353</v>
      </c>
      <c r="O703" s="18" t="s">
        <v>41</v>
      </c>
      <c r="P703" s="6">
        <v>42089.415439814809</v>
      </c>
      <c r="Q703" s="12"/>
      <c r="R703" s="17" t="s">
        <v>2782</v>
      </c>
      <c r="S703" s="11" t="s">
        <v>2783</v>
      </c>
      <c r="T703" s="12"/>
      <c r="U703" s="10" t="str">
        <f>HYPERLINK("https://pbs.twimg.com/profile_images/780431237555032064/H6v83dkC.jpg","View")</f>
        <v>View</v>
      </c>
    </row>
    <row r="704" spans="1:21" ht="40.799999999999997">
      <c r="A704" s="6">
        <v>43441.870023148149</v>
      </c>
      <c r="B704" s="7" t="str">
        <f>HYPERLINK("https://twitter.com/NotequejesActua","@NotequejesActua")</f>
        <v>@NotequejesActua</v>
      </c>
      <c r="C704" s="8" t="s">
        <v>2784</v>
      </c>
      <c r="D704" s="9" t="s">
        <v>2785</v>
      </c>
      <c r="E704" s="10" t="str">
        <f>HYPERLINK("https://twitter.com/NotequejesActua/status/1071130433151221765","1071130433151221765")</f>
        <v>1071130433151221765</v>
      </c>
      <c r="F704" s="11" t="s">
        <v>1176</v>
      </c>
      <c r="G704" s="12"/>
      <c r="H704" s="12"/>
      <c r="I704" s="13">
        <v>0</v>
      </c>
      <c r="J704" s="13">
        <v>1</v>
      </c>
      <c r="K704" s="14" t="str">
        <f t="shared" si="128"/>
        <v>Twitter Web Client</v>
      </c>
      <c r="L704" s="13">
        <v>35</v>
      </c>
      <c r="M704" s="13">
        <v>105</v>
      </c>
      <c r="N704" s="13">
        <v>0</v>
      </c>
      <c r="O704" s="15"/>
      <c r="P704" s="6">
        <v>40857.16375</v>
      </c>
      <c r="Q704" s="12"/>
      <c r="R704" s="17" t="s">
        <v>2786</v>
      </c>
      <c r="S704" s="12"/>
      <c r="T704" s="12"/>
      <c r="U704" s="10" t="str">
        <f>HYPERLINK("https://pbs.twimg.com/profile_images/619588172041859072/cNbyBhni.jpg","View")</f>
        <v>View</v>
      </c>
    </row>
    <row r="705" spans="1:21" ht="40.799999999999997">
      <c r="A705" s="6">
        <v>43441.868761574078</v>
      </c>
      <c r="B705" s="7" t="str">
        <f>HYPERLINK("https://twitter.com/antonioperal","@antonioperal")</f>
        <v>@antonioperal</v>
      </c>
      <c r="C705" s="8" t="s">
        <v>2787</v>
      </c>
      <c r="D705" s="9" t="s">
        <v>2788</v>
      </c>
      <c r="E705" s="10" t="str">
        <f>HYPERLINK("https://twitter.com/antonioperal/status/1071129976576053249","1071129976576053249")</f>
        <v>1071129976576053249</v>
      </c>
      <c r="F705" s="11" t="s">
        <v>576</v>
      </c>
      <c r="G705" s="12"/>
      <c r="H705" s="12"/>
      <c r="I705" s="13">
        <v>11</v>
      </c>
      <c r="J705" s="13">
        <v>12</v>
      </c>
      <c r="K705" s="14" t="str">
        <f>HYPERLINK("http://twitter.com/download/iphone","Twitter for iPhone")</f>
        <v>Twitter for iPhone</v>
      </c>
      <c r="L705" s="13">
        <v>17606</v>
      </c>
      <c r="M705" s="13">
        <v>12085</v>
      </c>
      <c r="N705" s="13">
        <v>282</v>
      </c>
      <c r="O705" s="15"/>
      <c r="P705" s="6">
        <v>40232.406469907408</v>
      </c>
      <c r="Q705" s="16" t="s">
        <v>2789</v>
      </c>
      <c r="R705" s="17" t="s">
        <v>2790</v>
      </c>
      <c r="S705" s="11" t="s">
        <v>2791</v>
      </c>
      <c r="T705" s="12"/>
      <c r="U705" s="10" t="str">
        <f>HYPERLINK("https://pbs.twimg.com/profile_images/886138908311990273/JuZB9dVx.jpg","View")</f>
        <v>View</v>
      </c>
    </row>
    <row r="706" spans="1:21" ht="51">
      <c r="A706" s="6">
        <v>43441.868483796294</v>
      </c>
      <c r="B706" s="7" t="str">
        <f>HYPERLINK("https://twitter.com/JPugnetas","@JPugnetas")</f>
        <v>@JPugnetas</v>
      </c>
      <c r="C706" s="8" t="s">
        <v>2792</v>
      </c>
      <c r="D706" s="9" t="s">
        <v>2793</v>
      </c>
      <c r="E706" s="10" t="str">
        <f>HYPERLINK("https://twitter.com/JPugnetas/status/1071129874088247296","1071129874088247296")</f>
        <v>1071129874088247296</v>
      </c>
      <c r="F706" s="12"/>
      <c r="G706" s="11" t="s">
        <v>2794</v>
      </c>
      <c r="H706" s="12"/>
      <c r="I706" s="13">
        <v>0</v>
      </c>
      <c r="J706" s="13">
        <v>0</v>
      </c>
      <c r="K706" s="14" t="str">
        <f t="shared" ref="K706:K707" si="129">HYPERLINK("http://twitter.com","Twitter Web Client")</f>
        <v>Twitter Web Client</v>
      </c>
      <c r="L706" s="13">
        <v>4</v>
      </c>
      <c r="M706" s="13">
        <v>8</v>
      </c>
      <c r="N706" s="13">
        <v>0</v>
      </c>
      <c r="O706" s="15"/>
      <c r="P706" s="6">
        <v>43293.801805555559</v>
      </c>
      <c r="Q706" s="16" t="s">
        <v>427</v>
      </c>
      <c r="R706" s="17" t="s">
        <v>2795</v>
      </c>
      <c r="S706" s="11" t="s">
        <v>2796</v>
      </c>
      <c r="T706" s="12"/>
      <c r="U706" s="10" t="str">
        <f>HYPERLINK("https://pbs.twimg.com/profile_images/1017463271333429248/DJRvsQRh.jpg","View")</f>
        <v>View</v>
      </c>
    </row>
    <row r="707" spans="1:21" ht="91.8">
      <c r="A707" s="6">
        <v>43441.868472222224</v>
      </c>
      <c r="B707" s="7" t="str">
        <f>HYPERLINK("https://twitter.com/ELOYGOM44","@ELOYGOM44")</f>
        <v>@ELOYGOM44</v>
      </c>
      <c r="C707" s="8" t="s">
        <v>2797</v>
      </c>
      <c r="D707" s="9" t="s">
        <v>2798</v>
      </c>
      <c r="E707" s="10" t="str">
        <f>HYPERLINK("https://twitter.com/ELOYGOM44/status/1071129872288886784","1071129872288886784")</f>
        <v>1071129872288886784</v>
      </c>
      <c r="F707" s="16" t="s">
        <v>2799</v>
      </c>
      <c r="G707" s="12"/>
      <c r="H707" s="12"/>
      <c r="I707" s="13">
        <v>0</v>
      </c>
      <c r="J707" s="13">
        <v>0</v>
      </c>
      <c r="K707" s="14" t="str">
        <f t="shared" si="129"/>
        <v>Twitter Web Client</v>
      </c>
      <c r="L707" s="13">
        <v>319</v>
      </c>
      <c r="M707" s="13">
        <v>1075</v>
      </c>
      <c r="N707" s="13">
        <v>4</v>
      </c>
      <c r="O707" s="15"/>
      <c r="P707" s="6">
        <v>40628.066157407404</v>
      </c>
      <c r="Q707" s="12"/>
      <c r="R707" s="17" t="s">
        <v>2800</v>
      </c>
      <c r="S707" s="12"/>
      <c r="T707" s="12"/>
      <c r="U707" s="10" t="str">
        <f>HYPERLINK("https://pbs.twimg.com/profile_images/1287138220/imagesCAMTCI8A.jpg","View")</f>
        <v>View</v>
      </c>
    </row>
    <row r="708" spans="1:21" ht="30.6">
      <c r="A708" s="6">
        <v>43441.865740740745</v>
      </c>
      <c r="B708" s="7" t="str">
        <f>HYPERLINK("https://twitter.com/enol_nje","@enol_nje")</f>
        <v>@enol_nje</v>
      </c>
      <c r="C708" s="8" t="s">
        <v>2801</v>
      </c>
      <c r="D708" s="9" t="s">
        <v>2802</v>
      </c>
      <c r="E708" s="10" t="str">
        <f>HYPERLINK("https://twitter.com/enol_nje/status/1071128880537317378","1071128880537317378")</f>
        <v>1071128880537317378</v>
      </c>
      <c r="F708" s="12"/>
      <c r="G708" s="12"/>
      <c r="H708" s="12"/>
      <c r="I708" s="13">
        <v>0</v>
      </c>
      <c r="J708" s="13">
        <v>1</v>
      </c>
      <c r="K708" s="14" t="str">
        <f>HYPERLINK("http://twitter.com/download/android","Twitter for Android")</f>
        <v>Twitter for Android</v>
      </c>
      <c r="L708" s="13">
        <v>379</v>
      </c>
      <c r="M708" s="13">
        <v>495</v>
      </c>
      <c r="N708" s="13">
        <v>2</v>
      </c>
      <c r="O708" s="15"/>
      <c r="P708" s="6">
        <v>41891.993750000001</v>
      </c>
      <c r="Q708" s="12"/>
      <c r="R708" s="17" t="s">
        <v>2803</v>
      </c>
      <c r="S708" s="12"/>
      <c r="T708" s="12"/>
      <c r="U708" s="10" t="str">
        <f>HYPERLINK("https://pbs.twimg.com/profile_images/867670775469355008/xI4_A8Fy.jpg","View")</f>
        <v>View</v>
      </c>
    </row>
    <row r="709" spans="1:21" ht="51">
      <c r="A709" s="6">
        <v>43441.864837962959</v>
      </c>
      <c r="B709" s="7" t="str">
        <f>HYPERLINK("https://twitter.com/JorgexFernandez","@JorgexFernandez")</f>
        <v>@JorgexFernandez</v>
      </c>
      <c r="C709" s="8" t="s">
        <v>2804</v>
      </c>
      <c r="D709" s="9" t="s">
        <v>2805</v>
      </c>
      <c r="E709" s="10" t="str">
        <f>HYPERLINK("https://twitter.com/JorgexFernandez/status/1071128552093958144","1071128552093958144")</f>
        <v>1071128552093958144</v>
      </c>
      <c r="F709" s="11" t="s">
        <v>2806</v>
      </c>
      <c r="G709" s="12"/>
      <c r="H709" s="12"/>
      <c r="I709" s="13">
        <v>0</v>
      </c>
      <c r="J709" s="13">
        <v>0</v>
      </c>
      <c r="K709" s="14" t="str">
        <f>HYPERLINK("http://www.facebook.com/twitter","Facebook")</f>
        <v>Facebook</v>
      </c>
      <c r="L709" s="13">
        <v>124</v>
      </c>
      <c r="M709" s="13">
        <v>25</v>
      </c>
      <c r="N709" s="13">
        <v>1</v>
      </c>
      <c r="O709" s="15"/>
      <c r="P709" s="6">
        <v>39974.116736111115</v>
      </c>
      <c r="Q709" s="16" t="s">
        <v>2807</v>
      </c>
      <c r="R709" s="17" t="s">
        <v>2808</v>
      </c>
      <c r="S709" s="11" t="s">
        <v>2809</v>
      </c>
      <c r="T709" s="12"/>
      <c r="U709" s="10" t="str">
        <f>HYPERLINK("https://pbs.twimg.com/profile_images/1400362637/DAX.jpg","View")</f>
        <v>View</v>
      </c>
    </row>
    <row r="710" spans="1:21" ht="71.400000000000006">
      <c r="A710" s="6">
        <v>43441.863437499997</v>
      </c>
      <c r="B710" s="7" t="str">
        <f>HYPERLINK("https://twitter.com/MaruxaHevia","@MaruxaHevia")</f>
        <v>@MaruxaHevia</v>
      </c>
      <c r="C710" s="8" t="s">
        <v>1046</v>
      </c>
      <c r="D710" s="9" t="s">
        <v>2810</v>
      </c>
      <c r="E710" s="10" t="str">
        <f>HYPERLINK("https://twitter.com/MaruxaHevia/status/1071128044612538368","1071128044612538368")</f>
        <v>1071128044612538368</v>
      </c>
      <c r="F710" s="16" t="s">
        <v>2811</v>
      </c>
      <c r="G710" s="12"/>
      <c r="H710" s="12"/>
      <c r="I710" s="13">
        <v>2</v>
      </c>
      <c r="J710" s="13">
        <v>1</v>
      </c>
      <c r="K710" s="14" t="str">
        <f>HYPERLINK("http://twitter.com","Twitter Web Client")</f>
        <v>Twitter Web Client</v>
      </c>
      <c r="L710" s="13">
        <v>1975</v>
      </c>
      <c r="M710" s="13">
        <v>322</v>
      </c>
      <c r="N710" s="13">
        <v>62</v>
      </c>
      <c r="O710" s="15"/>
      <c r="P710" s="6">
        <v>41474.682673611111</v>
      </c>
      <c r="Q710" s="12"/>
      <c r="R710" s="17" t="s">
        <v>1049</v>
      </c>
      <c r="S710" s="12"/>
      <c r="T710" s="12"/>
      <c r="U710" s="10" t="str">
        <f>HYPERLINK("https://pbs.twimg.com/profile_images/975823307307212801/mrNLfbBi.jpg","View")</f>
        <v>View</v>
      </c>
    </row>
    <row r="711" spans="1:21" ht="51">
      <c r="A711" s="6">
        <v>43441.863032407404</v>
      </c>
      <c r="B711" s="7" t="str">
        <f>HYPERLINK("https://twitter.com/JSaPromotora","@JSaPromotora")</f>
        <v>@JSaPromotora</v>
      </c>
      <c r="C711" s="8" t="s">
        <v>2812</v>
      </c>
      <c r="D711" s="9" t="s">
        <v>2813</v>
      </c>
      <c r="E711" s="10" t="str">
        <f>HYPERLINK("https://twitter.com/JSaPromotora/status/1071127898839502848","1071127898839502848")</f>
        <v>1071127898839502848</v>
      </c>
      <c r="F711" s="12"/>
      <c r="G711" s="11" t="s">
        <v>2814</v>
      </c>
      <c r="H711" s="12"/>
      <c r="I711" s="13">
        <v>1</v>
      </c>
      <c r="J711" s="13">
        <v>1</v>
      </c>
      <c r="K711" s="14" t="str">
        <f>HYPERLINK("https://www.hootsuite.com","Hootsuite Inc.")</f>
        <v>Hootsuite Inc.</v>
      </c>
      <c r="L711" s="13">
        <v>119</v>
      </c>
      <c r="M711" s="13">
        <v>99</v>
      </c>
      <c r="N711" s="13">
        <v>1</v>
      </c>
      <c r="O711" s="15"/>
      <c r="P711" s="6">
        <v>43173.096655092595</v>
      </c>
      <c r="Q711" s="16" t="s">
        <v>2815</v>
      </c>
      <c r="R711" s="17" t="s">
        <v>2816</v>
      </c>
      <c r="S711" s="11" t="s">
        <v>2817</v>
      </c>
      <c r="T711" s="12"/>
      <c r="U711" s="10" t="str">
        <f>HYPERLINK("https://pbs.twimg.com/profile_images/1049534897738502145/YEGJfjSD.jpg","View")</f>
        <v>View</v>
      </c>
    </row>
    <row r="712" spans="1:21" ht="51">
      <c r="A712" s="6">
        <v>43441.861631944441</v>
      </c>
      <c r="B712" s="7" t="str">
        <f>HYPERLINK("https://twitter.com/b_justo","@b_justo")</f>
        <v>@b_justo</v>
      </c>
      <c r="C712" s="8" t="s">
        <v>2818</v>
      </c>
      <c r="D712" s="9" t="s">
        <v>2819</v>
      </c>
      <c r="E712" s="10" t="str">
        <f>HYPERLINK("https://twitter.com/b_justo/status/1071127391672692742","1071127391672692742")</f>
        <v>1071127391672692742</v>
      </c>
      <c r="F712" s="12"/>
      <c r="G712" s="12"/>
      <c r="H712" s="12"/>
      <c r="I712" s="13">
        <v>0</v>
      </c>
      <c r="J712" s="13">
        <v>0</v>
      </c>
      <c r="K712" s="14" t="str">
        <f>HYPERLINK("http://twitter.com/download/android","Twitter for Android")</f>
        <v>Twitter for Android</v>
      </c>
      <c r="L712" s="13">
        <v>956</v>
      </c>
      <c r="M712" s="13">
        <v>5000</v>
      </c>
      <c r="N712" s="13">
        <v>2</v>
      </c>
      <c r="O712" s="15"/>
      <c r="P712" s="6">
        <v>41354.570497685185</v>
      </c>
      <c r="Q712" s="12"/>
      <c r="R712" s="19"/>
      <c r="S712" s="12"/>
      <c r="T712" s="12"/>
      <c r="U712" s="10" t="str">
        <f>HYPERLINK("https://pbs.twimg.com/profile_images/950081643708116992/Lfx2G8bv.jpg","View")</f>
        <v>View</v>
      </c>
    </row>
    <row r="713" spans="1:21" ht="51">
      <c r="A713" s="6">
        <v>43441.861412037033</v>
      </c>
      <c r="B713" s="7" t="str">
        <f>HYPERLINK("https://twitter.com/franjv86","@franjv86")</f>
        <v>@franjv86</v>
      </c>
      <c r="C713" s="8" t="s">
        <v>2549</v>
      </c>
      <c r="D713" s="9" t="s">
        <v>2820</v>
      </c>
      <c r="E713" s="10" t="str">
        <f>HYPERLINK("https://twitter.com/franjv86/status/1071127312937173001","1071127312937173001")</f>
        <v>1071127312937173001</v>
      </c>
      <c r="F713" s="11" t="s">
        <v>2821</v>
      </c>
      <c r="G713" s="12"/>
      <c r="H713" s="12"/>
      <c r="I713" s="13">
        <v>0</v>
      </c>
      <c r="J713" s="13">
        <v>0</v>
      </c>
      <c r="K713" s="14" t="str">
        <f>HYPERLINK("http://twitter.com/download/iphone","Twitter for iPhone")</f>
        <v>Twitter for iPhone</v>
      </c>
      <c r="L713" s="13">
        <v>384</v>
      </c>
      <c r="M713" s="13">
        <v>425</v>
      </c>
      <c r="N713" s="13">
        <v>19</v>
      </c>
      <c r="O713" s="15"/>
      <c r="P713" s="6">
        <v>40142.73600694444</v>
      </c>
      <c r="Q713" s="16" t="s">
        <v>2822</v>
      </c>
      <c r="R713" s="17" t="s">
        <v>2823</v>
      </c>
      <c r="S713" s="12"/>
      <c r="T713" s="12"/>
      <c r="U713" s="10" t="str">
        <f>HYPERLINK("https://pbs.twimg.com/profile_images/1043565278586638336/aKXVXtE0.jpg","View")</f>
        <v>View</v>
      </c>
    </row>
    <row r="714" spans="1:21" ht="40.799999999999997">
      <c r="A714" s="6">
        <v>43441.860520833332</v>
      </c>
      <c r="B714" s="7" t="str">
        <f>HYPERLINK("https://twitter.com/ChezNieto","@ChezNieto")</f>
        <v>@ChezNieto</v>
      </c>
      <c r="C714" s="8" t="s">
        <v>42</v>
      </c>
      <c r="D714" s="9" t="s">
        <v>2824</v>
      </c>
      <c r="E714" s="10" t="str">
        <f>HYPERLINK("https://twitter.com/ChezNieto/status/1071126990399422466","1071126990399422466")</f>
        <v>1071126990399422466</v>
      </c>
      <c r="F714" s="11" t="s">
        <v>2825</v>
      </c>
      <c r="G714" s="12"/>
      <c r="H714" s="12"/>
      <c r="I714" s="13">
        <v>0</v>
      </c>
      <c r="J714" s="13">
        <v>0</v>
      </c>
      <c r="K714" s="14" t="str">
        <f>HYPERLINK("http://twitter.com","Twitter Web Client")</f>
        <v>Twitter Web Client</v>
      </c>
      <c r="L714" s="13">
        <v>5087</v>
      </c>
      <c r="M714" s="13">
        <v>4782</v>
      </c>
      <c r="N714" s="13">
        <v>50</v>
      </c>
      <c r="O714" s="15"/>
      <c r="P714" s="6">
        <v>41341.600729166668</v>
      </c>
      <c r="Q714" s="16" t="s">
        <v>60</v>
      </c>
      <c r="R714" s="17" t="s">
        <v>2826</v>
      </c>
      <c r="S714" s="12"/>
      <c r="T714" s="12"/>
      <c r="U714" s="10" t="str">
        <f>HYPERLINK("https://pbs.twimg.com/profile_images/3750051142/df497636f6b21e0abf733a0e65a50087.jpeg","View")</f>
        <v>View</v>
      </c>
    </row>
    <row r="715" spans="1:21" ht="13.2">
      <c r="A715" s="6">
        <v>43441.85869212963</v>
      </c>
      <c r="B715" s="7" t="str">
        <f>HYPERLINK("https://twitter.com/hipercacique","@hipercacique")</f>
        <v>@hipercacique</v>
      </c>
      <c r="C715" s="8" t="s">
        <v>2827</v>
      </c>
      <c r="D715" s="9" t="s">
        <v>1175</v>
      </c>
      <c r="E715" s="10" t="str">
        <f>HYPERLINK("https://twitter.com/hipercacique/status/1071126328131420160","1071126328131420160")</f>
        <v>1071126328131420160</v>
      </c>
      <c r="F715" s="11" t="s">
        <v>1176</v>
      </c>
      <c r="G715" s="12"/>
      <c r="H715" s="12"/>
      <c r="I715" s="13">
        <v>0</v>
      </c>
      <c r="J715" s="13">
        <v>0</v>
      </c>
      <c r="K715" s="14" t="str">
        <f t="shared" ref="K715:K716" si="130">HYPERLINK("http://twitter.com/download/android","Twitter for Android")</f>
        <v>Twitter for Android</v>
      </c>
      <c r="L715" s="13">
        <v>32</v>
      </c>
      <c r="M715" s="13">
        <v>101</v>
      </c>
      <c r="N715" s="13">
        <v>0</v>
      </c>
      <c r="O715" s="15"/>
      <c r="P715" s="6">
        <v>40735.750555555554</v>
      </c>
      <c r="Q715" s="16" t="s">
        <v>797</v>
      </c>
      <c r="R715" s="19"/>
      <c r="S715" s="12"/>
      <c r="T715" s="12"/>
      <c r="U715" s="10" t="str">
        <f>HYPERLINK("https://pbs.twimg.com/profile_images/1436989134/Stray_cats.jpg","View")</f>
        <v>View</v>
      </c>
    </row>
    <row r="716" spans="1:21" ht="20.399999999999999">
      <c r="A716" s="6">
        <v>43441.857928240745</v>
      </c>
      <c r="B716" s="7" t="str">
        <f>HYPERLINK("https://twitter.com/Juan200363","@Juan200363")</f>
        <v>@Juan200363</v>
      </c>
      <c r="C716" s="8" t="s">
        <v>327</v>
      </c>
      <c r="D716" s="9" t="s">
        <v>2828</v>
      </c>
      <c r="E716" s="10" t="str">
        <f>HYPERLINK("https://twitter.com/Juan200363/status/1071126049935765504","1071126049935765504")</f>
        <v>1071126049935765504</v>
      </c>
      <c r="F716" s="12"/>
      <c r="G716" s="11" t="s">
        <v>2829</v>
      </c>
      <c r="H716" s="12"/>
      <c r="I716" s="13">
        <v>3</v>
      </c>
      <c r="J716" s="13">
        <v>7</v>
      </c>
      <c r="K716" s="14" t="str">
        <f t="shared" si="130"/>
        <v>Twitter for Android</v>
      </c>
      <c r="L716" s="13">
        <v>2851</v>
      </c>
      <c r="M716" s="13">
        <v>2598</v>
      </c>
      <c r="N716" s="13">
        <v>4</v>
      </c>
      <c r="O716" s="15"/>
      <c r="P716" s="6">
        <v>40977.730636574073</v>
      </c>
      <c r="Q716" s="16" t="s">
        <v>333</v>
      </c>
      <c r="R716" s="17" t="s">
        <v>334</v>
      </c>
      <c r="S716" s="11" t="s">
        <v>335</v>
      </c>
      <c r="T716" s="12"/>
      <c r="U716" s="10" t="str">
        <f>HYPERLINK("https://pbs.twimg.com/profile_images/1066639785723392005/WiI5liwp.jpg","View")</f>
        <v>View</v>
      </c>
    </row>
    <row r="717" spans="1:21" ht="20.399999999999999">
      <c r="A717" s="6">
        <v>43441.856956018513</v>
      </c>
      <c r="B717" s="7" t="str">
        <f>HYPERLINK("https://twitter.com/EP_Mundo","@EP_Mundo")</f>
        <v>@EP_Mundo</v>
      </c>
      <c r="C717" s="8" t="s">
        <v>735</v>
      </c>
      <c r="D717" s="9" t="s">
        <v>736</v>
      </c>
      <c r="E717" s="10" t="str">
        <f>HYPERLINK("https://twitter.com/EP_Mundo/status/1071125696515371010","1071125696515371010")</f>
        <v>1071125696515371010</v>
      </c>
      <c r="F717" s="11" t="s">
        <v>737</v>
      </c>
      <c r="G717" s="11" t="s">
        <v>2830</v>
      </c>
      <c r="H717" s="12"/>
      <c r="I717" s="13">
        <v>0</v>
      </c>
      <c r="J717" s="13">
        <v>1</v>
      </c>
      <c r="K717" s="14" t="str">
        <f>HYPERLINK("http://epmundo.com","Tuiteo TOP EP (2)")</f>
        <v>Tuiteo TOP EP (2)</v>
      </c>
      <c r="L717" s="13">
        <v>510220</v>
      </c>
      <c r="M717" s="13">
        <v>301867</v>
      </c>
      <c r="N717" s="13">
        <v>1363</v>
      </c>
      <c r="O717" s="15"/>
      <c r="P717" s="6">
        <v>40203.223078703704</v>
      </c>
      <c r="Q717" s="12"/>
      <c r="R717" s="17" t="s">
        <v>739</v>
      </c>
      <c r="S717" s="11" t="s">
        <v>740</v>
      </c>
      <c r="T717" s="12"/>
      <c r="U717" s="10" t="str">
        <f>HYPERLINK("https://pbs.twimg.com/profile_images/958329583778099200/87-xiuzB.jpg","View")</f>
        <v>View</v>
      </c>
    </row>
    <row r="718" spans="1:21" ht="71.400000000000006">
      <c r="A718" s="6">
        <v>43441.856898148151</v>
      </c>
      <c r="B718" s="7" t="str">
        <f>HYPERLINK("https://twitter.com/mariapgomez4","@mariapgomez4")</f>
        <v>@mariapgomez4</v>
      </c>
      <c r="C718" s="8" t="s">
        <v>2831</v>
      </c>
      <c r="D718" s="9" t="s">
        <v>2832</v>
      </c>
      <c r="E718" s="10" t="str">
        <f>HYPERLINK("https://twitter.com/mariapgomez4/status/1071125675195727872","1071125675195727872")</f>
        <v>1071125675195727872</v>
      </c>
      <c r="F718" s="11" t="s">
        <v>1366</v>
      </c>
      <c r="G718" s="12"/>
      <c r="H718" s="12"/>
      <c r="I718" s="13">
        <v>0</v>
      </c>
      <c r="J718" s="13">
        <v>0</v>
      </c>
      <c r="K718" s="14" t="str">
        <f>HYPERLINK("https://mobile.twitter.com","Twitter Lite")</f>
        <v>Twitter Lite</v>
      </c>
      <c r="L718" s="13">
        <v>876</v>
      </c>
      <c r="M718" s="13">
        <v>1307</v>
      </c>
      <c r="N718" s="13">
        <v>0</v>
      </c>
      <c r="O718" s="15"/>
      <c r="P718" s="6">
        <v>43409.611331018517</v>
      </c>
      <c r="Q718" s="16" t="s">
        <v>119</v>
      </c>
      <c r="R718" s="17" t="s">
        <v>2833</v>
      </c>
      <c r="S718" s="12"/>
      <c r="T718" s="12"/>
      <c r="U718" s="10" t="str">
        <f>HYPERLINK("https://pbs.twimg.com/profile_images/1067418018714738689/nJdFTwze.jpg","View")</f>
        <v>View</v>
      </c>
    </row>
    <row r="719" spans="1:21" ht="20.399999999999999">
      <c r="A719" s="6">
        <v>43441.856342592597</v>
      </c>
      <c r="B719" s="7" t="str">
        <f>HYPERLINK("https://twitter.com/KALERGIPLAN3","@KALERGIPLAN3")</f>
        <v>@KALERGIPLAN3</v>
      </c>
      <c r="C719" s="8" t="s">
        <v>2481</v>
      </c>
      <c r="D719" s="9" t="s">
        <v>2834</v>
      </c>
      <c r="E719" s="10" t="str">
        <f>HYPERLINK("https://twitter.com/KALERGIPLAN3/status/1071125474426937344","1071125474426937344")</f>
        <v>1071125474426937344</v>
      </c>
      <c r="F719" s="11" t="s">
        <v>2835</v>
      </c>
      <c r="G719" s="12"/>
      <c r="H719" s="12"/>
      <c r="I719" s="13">
        <v>0</v>
      </c>
      <c r="J719" s="13">
        <v>0</v>
      </c>
      <c r="K719" s="14" t="str">
        <f>HYPERLINK("http://twitter.com","Twitter Web Client")</f>
        <v>Twitter Web Client</v>
      </c>
      <c r="L719" s="13">
        <v>759</v>
      </c>
      <c r="M719" s="13">
        <v>1224</v>
      </c>
      <c r="N719" s="13">
        <v>4</v>
      </c>
      <c r="O719" s="15"/>
      <c r="P719" s="6">
        <v>43126.55405092593</v>
      </c>
      <c r="Q719" s="16" t="s">
        <v>2484</v>
      </c>
      <c r="R719" s="17" t="s">
        <v>2485</v>
      </c>
      <c r="S719" s="12"/>
      <c r="T719" s="12"/>
      <c r="U719" s="10" t="str">
        <f>HYPERLINK("https://pbs.twimg.com/profile_images/957285491707121664/UefjbD3b.jpg","View")</f>
        <v>View</v>
      </c>
    </row>
    <row r="720" spans="1:21" ht="20.399999999999999">
      <c r="A720" s="6">
        <v>43441.856111111112</v>
      </c>
      <c r="B720" s="7" t="str">
        <f>HYPERLINK("https://twitter.com/bartblue4","@bartblue4")</f>
        <v>@bartblue4</v>
      </c>
      <c r="C720" s="8" t="s">
        <v>2836</v>
      </c>
      <c r="D720" s="9" t="s">
        <v>2664</v>
      </c>
      <c r="E720" s="10" t="str">
        <f>HYPERLINK("https://twitter.com/bartblue4/status/1071125391773978625","1071125391773978625")</f>
        <v>1071125391773978625</v>
      </c>
      <c r="F720" s="11" t="s">
        <v>2665</v>
      </c>
      <c r="G720" s="12"/>
      <c r="H720" s="12"/>
      <c r="I720" s="13">
        <v>1</v>
      </c>
      <c r="J720" s="13">
        <v>0</v>
      </c>
      <c r="K720" s="14" t="str">
        <f>HYPERLINK("http://twitter.com/download/android","Twitter for Android")</f>
        <v>Twitter for Android</v>
      </c>
      <c r="L720" s="13">
        <v>80</v>
      </c>
      <c r="M720" s="13">
        <v>39</v>
      </c>
      <c r="N720" s="13">
        <v>8</v>
      </c>
      <c r="O720" s="15"/>
      <c r="P720" s="6">
        <v>41132.713310185187</v>
      </c>
      <c r="Q720" s="16" t="s">
        <v>2838</v>
      </c>
      <c r="R720" s="17" t="s">
        <v>2839</v>
      </c>
      <c r="S720" s="12"/>
      <c r="T720" s="12"/>
      <c r="U720" s="10" t="str">
        <f>HYPERLINK("https://pbs.twimg.com/profile_images/717120480306704385/vnAqJSFn.jpg","View")</f>
        <v>View</v>
      </c>
    </row>
    <row r="721" spans="1:21" ht="51">
      <c r="A721" s="6">
        <v>43441.855567129634</v>
      </c>
      <c r="B721" s="7" t="str">
        <f>HYPERLINK("https://twitter.com/FanjulSegundo","@FanjulSegundo")</f>
        <v>@FanjulSegundo</v>
      </c>
      <c r="C721" s="8" t="s">
        <v>2840</v>
      </c>
      <c r="D721" s="9" t="s">
        <v>2841</v>
      </c>
      <c r="E721" s="10" t="str">
        <f>HYPERLINK("https://twitter.com/FanjulSegundo/status/1071125193287000064","1071125193287000064")</f>
        <v>1071125193287000064</v>
      </c>
      <c r="F721" s="11" t="s">
        <v>246</v>
      </c>
      <c r="G721" s="11" t="s">
        <v>2844</v>
      </c>
      <c r="H721" s="12"/>
      <c r="I721" s="13">
        <v>2</v>
      </c>
      <c r="J721" s="13">
        <v>3</v>
      </c>
      <c r="K721" s="14" t="str">
        <f>HYPERLINK("http://twitter.com","Twitter Web Client")</f>
        <v>Twitter Web Client</v>
      </c>
      <c r="L721" s="13">
        <v>32097</v>
      </c>
      <c r="M721" s="13">
        <v>7321</v>
      </c>
      <c r="N721" s="13">
        <v>105</v>
      </c>
      <c r="O721" s="15"/>
      <c r="P721" s="6">
        <v>40925.638194444444</v>
      </c>
      <c r="Q721" s="12"/>
      <c r="R721" s="17" t="s">
        <v>2845</v>
      </c>
      <c r="S721" s="12"/>
      <c r="T721" s="12"/>
      <c r="U721" s="10" t="str">
        <f>HYPERLINK("https://pbs.twimg.com/profile_images/3538718854/e54d3fd024ceb7ff0dafe39cefaeb701.png","View")</f>
        <v>View</v>
      </c>
    </row>
    <row r="722" spans="1:21" ht="40.799999999999997">
      <c r="A722" s="6">
        <v>43441.854756944449</v>
      </c>
      <c r="B722" s="7" t="str">
        <f>HYPERLINK("https://twitter.com/skifanatic2011","@skifanatic2011")</f>
        <v>@skifanatic2011</v>
      </c>
      <c r="C722" s="8" t="s">
        <v>2846</v>
      </c>
      <c r="D722" s="9" t="s">
        <v>1175</v>
      </c>
      <c r="E722" s="10" t="str">
        <f>HYPERLINK("https://twitter.com/skifanatic2011/status/1071124900960759809","1071124900960759809")</f>
        <v>1071124900960759809</v>
      </c>
      <c r="F722" s="11" t="s">
        <v>1176</v>
      </c>
      <c r="G722" s="12"/>
      <c r="H722" s="12"/>
      <c r="I722" s="13">
        <v>0</v>
      </c>
      <c r="J722" s="13">
        <v>0</v>
      </c>
      <c r="K722" s="14" t="str">
        <f>HYPERLINK("http://twitter.com/download/android","Twitter for Android")</f>
        <v>Twitter for Android</v>
      </c>
      <c r="L722" s="13">
        <v>64</v>
      </c>
      <c r="M722" s="13">
        <v>294</v>
      </c>
      <c r="N722" s="13">
        <v>5</v>
      </c>
      <c r="O722" s="15"/>
      <c r="P722" s="6">
        <v>40792.766365740739</v>
      </c>
      <c r="Q722" s="16" t="s">
        <v>200</v>
      </c>
      <c r="R722" s="17" t="s">
        <v>2847</v>
      </c>
      <c r="S722" s="12"/>
      <c r="T722" s="12"/>
      <c r="U722" s="10" t="str">
        <f>HYPERLINK("https://pbs.twimg.com/profile_images/799750272004268036/3dj2UNHR.jpg","View")</f>
        <v>View</v>
      </c>
    </row>
    <row r="723" spans="1:21" ht="30.6">
      <c r="A723" s="6">
        <v>43441.854467592595</v>
      </c>
      <c r="B723" s="7" t="str">
        <f>HYPERLINK("https://twitter.com/nomemandescall3","@nomemandescall3")</f>
        <v>@nomemandescall3</v>
      </c>
      <c r="C723" s="8" t="s">
        <v>2848</v>
      </c>
      <c r="D723" s="9" t="s">
        <v>1175</v>
      </c>
      <c r="E723" s="10" t="str">
        <f>HYPERLINK("https://twitter.com/nomemandescall3/status/1071124797508206592","1071124797508206592")</f>
        <v>1071124797508206592</v>
      </c>
      <c r="F723" s="11" t="s">
        <v>1176</v>
      </c>
      <c r="G723" s="12"/>
      <c r="H723" s="12"/>
      <c r="I723" s="13">
        <v>0</v>
      </c>
      <c r="J723" s="13">
        <v>0</v>
      </c>
      <c r="K723" s="14" t="str">
        <f>HYPERLINK("http://twitter.com/download/iphone","Twitter for iPhone")</f>
        <v>Twitter for iPhone</v>
      </c>
      <c r="L723" s="13">
        <v>187</v>
      </c>
      <c r="M723" s="13">
        <v>301</v>
      </c>
      <c r="N723" s="13">
        <v>0</v>
      </c>
      <c r="O723" s="15"/>
      <c r="P723" s="6">
        <v>43284.758842592593</v>
      </c>
      <c r="Q723" s="16" t="s">
        <v>87</v>
      </c>
      <c r="R723" s="17" t="s">
        <v>2849</v>
      </c>
      <c r="S723" s="12"/>
      <c r="T723" s="12"/>
      <c r="U723" s="10" t="str">
        <f>HYPERLINK("https://pbs.twimg.com/profile_images/1065664208388456458/ySf0syG8.jpg","View")</f>
        <v>View</v>
      </c>
    </row>
    <row r="724" spans="1:21" ht="51">
      <c r="A724" s="6">
        <v>43441.85256944444</v>
      </c>
      <c r="B724" s="7" t="str">
        <f>HYPERLINK("https://twitter.com/Mariagtriana","@Mariagtriana")</f>
        <v>@Mariagtriana</v>
      </c>
      <c r="C724" s="8" t="s">
        <v>2850</v>
      </c>
      <c r="D724" s="9" t="s">
        <v>2851</v>
      </c>
      <c r="E724" s="10" t="str">
        <f>HYPERLINK("https://twitter.com/Mariagtriana/status/1071124108795105283","1071124108795105283")</f>
        <v>1071124108795105283</v>
      </c>
      <c r="F724" s="11" t="s">
        <v>576</v>
      </c>
      <c r="G724" s="12"/>
      <c r="H724" s="12"/>
      <c r="I724" s="13">
        <v>88</v>
      </c>
      <c r="J724" s="13">
        <v>86</v>
      </c>
      <c r="K724" s="14" t="str">
        <f>HYPERLINK("http://twitter.com/download/android","Twitter for Android")</f>
        <v>Twitter for Android</v>
      </c>
      <c r="L724" s="13">
        <v>6133</v>
      </c>
      <c r="M724" s="13">
        <v>911</v>
      </c>
      <c r="N724" s="13">
        <v>45</v>
      </c>
      <c r="O724" s="15"/>
      <c r="P724" s="6">
        <v>42438.497800925921</v>
      </c>
      <c r="Q724" s="12"/>
      <c r="R724" s="17" t="s">
        <v>2852</v>
      </c>
      <c r="S724" s="12"/>
      <c r="T724" s="12"/>
      <c r="U724" s="10" t="str">
        <f>HYPERLINK("https://pbs.twimg.com/profile_images/992553849666920449/wAcxtYUG.jpg","View")</f>
        <v>View</v>
      </c>
    </row>
    <row r="725" spans="1:21" ht="30.6">
      <c r="A725" s="6">
        <v>43441.851805555554</v>
      </c>
      <c r="B725" s="7" t="str">
        <f>HYPERLINK("https://twitter.com/eduardovirgala","@eduardovirgala")</f>
        <v>@eduardovirgala</v>
      </c>
      <c r="C725" s="8" t="s">
        <v>2853</v>
      </c>
      <c r="D725" s="9" t="s">
        <v>2854</v>
      </c>
      <c r="E725" s="10" t="str">
        <f>HYPERLINK("https://twitter.com/eduardovirgala/status/1071123832335974400","1071123832335974400")</f>
        <v>1071123832335974400</v>
      </c>
      <c r="F725" s="12"/>
      <c r="G725" s="12"/>
      <c r="H725" s="12"/>
      <c r="I725" s="13">
        <v>3</v>
      </c>
      <c r="J725" s="13">
        <v>5</v>
      </c>
      <c r="K725" s="14" t="str">
        <f>HYPERLINK("http://twitter.com/#!/download/ipad","Twitter for iPad")</f>
        <v>Twitter for iPad</v>
      </c>
      <c r="L725" s="13">
        <v>8464</v>
      </c>
      <c r="M725" s="13">
        <v>1171</v>
      </c>
      <c r="N725" s="13">
        <v>215</v>
      </c>
      <c r="O725" s="15"/>
      <c r="P725" s="6">
        <v>39856.383483796293</v>
      </c>
      <c r="Q725" s="16" t="s">
        <v>2855</v>
      </c>
      <c r="R725" s="17" t="s">
        <v>2856</v>
      </c>
      <c r="S725" s="11" t="s">
        <v>2857</v>
      </c>
      <c r="T725" s="12"/>
      <c r="U725" s="10" t="str">
        <f>HYPERLINK("https://pbs.twimg.com/profile_images/1070948836921802753/qq7djpCI.jpg","View")</f>
        <v>View</v>
      </c>
    </row>
    <row r="726" spans="1:21" ht="61.2">
      <c r="A726" s="6">
        <v>43441.85125</v>
      </c>
      <c r="B726" s="7" t="str">
        <f>HYPERLINK("https://twitter.com/guirongfu","@guirongfu")</f>
        <v>@guirongfu</v>
      </c>
      <c r="C726" s="8" t="s">
        <v>2858</v>
      </c>
      <c r="D726" s="9" t="s">
        <v>2859</v>
      </c>
      <c r="E726" s="10" t="str">
        <f>HYPERLINK("https://twitter.com/guirongfu/status/1071123631357550598","1071123631357550598")</f>
        <v>1071123631357550598</v>
      </c>
      <c r="F726" s="11" t="s">
        <v>2860</v>
      </c>
      <c r="G726" s="11" t="s">
        <v>2861</v>
      </c>
      <c r="H726" s="12"/>
      <c r="I726" s="13">
        <v>3</v>
      </c>
      <c r="J726" s="13">
        <v>3</v>
      </c>
      <c r="K726" s="14" t="str">
        <f t="shared" ref="K726:K727" si="131">HYPERLINK("http://twitter.com","Twitter Web Client")</f>
        <v>Twitter Web Client</v>
      </c>
      <c r="L726" s="13">
        <v>316</v>
      </c>
      <c r="M726" s="13">
        <v>236</v>
      </c>
      <c r="N726" s="13">
        <v>0</v>
      </c>
      <c r="O726" s="15"/>
      <c r="P726" s="6">
        <v>40704.051898148144</v>
      </c>
      <c r="Q726" s="12"/>
      <c r="R726" s="17" t="s">
        <v>2862</v>
      </c>
      <c r="S726" s="12"/>
      <c r="T726" s="12"/>
      <c r="U726" s="10" t="str">
        <f>HYPERLINK("https://pbs.twimg.com/profile_images/914885355924590592/GPkhHkQC.jpg","View")</f>
        <v>View</v>
      </c>
    </row>
    <row r="727" spans="1:21" ht="40.799999999999997">
      <c r="A727" s="6">
        <v>43441.85125</v>
      </c>
      <c r="B727" s="7" t="str">
        <f>HYPERLINK("https://twitter.com/nefeerr","@nefeerr")</f>
        <v>@nefeerr</v>
      </c>
      <c r="C727" s="8" t="s">
        <v>283</v>
      </c>
      <c r="D727" s="9" t="s">
        <v>1903</v>
      </c>
      <c r="E727" s="10" t="str">
        <f>HYPERLINK("https://twitter.com/nefeerr/status/1071123628811542528","1071123628811542528")</f>
        <v>1071123628811542528</v>
      </c>
      <c r="F727" s="11" t="s">
        <v>1904</v>
      </c>
      <c r="G727" s="12"/>
      <c r="H727" s="12"/>
      <c r="I727" s="13">
        <v>0</v>
      </c>
      <c r="J727" s="13">
        <v>0</v>
      </c>
      <c r="K727" s="14" t="str">
        <f t="shared" si="131"/>
        <v>Twitter Web Client</v>
      </c>
      <c r="L727" s="13">
        <v>73247</v>
      </c>
      <c r="M727" s="13">
        <v>78939</v>
      </c>
      <c r="N727" s="13">
        <v>375</v>
      </c>
      <c r="O727" s="15"/>
      <c r="P727" s="6">
        <v>40682.676620370374</v>
      </c>
      <c r="Q727" s="16" t="s">
        <v>2863</v>
      </c>
      <c r="R727" s="17" t="s">
        <v>2864</v>
      </c>
      <c r="S727" s="12"/>
      <c r="T727" s="12"/>
      <c r="U727" s="10" t="str">
        <f>HYPERLINK("https://pbs.twimg.com/profile_images/817294191055306752/CVQj58Pp.jpg","View")</f>
        <v>View</v>
      </c>
    </row>
    <row r="728" spans="1:21" ht="40.799999999999997">
      <c r="A728" s="6">
        <v>43441.8512037037</v>
      </c>
      <c r="B728" s="7" t="str">
        <f>HYPERLINK("https://twitter.com/Raul_Pena_Cos","@Raul_Pena_Cos")</f>
        <v>@Raul_Pena_Cos</v>
      </c>
      <c r="C728" s="8" t="s">
        <v>2867</v>
      </c>
      <c r="D728" s="9" t="s">
        <v>2868</v>
      </c>
      <c r="E728" s="10" t="str">
        <f>HYPERLINK("https://twitter.com/Raul_Pena_Cos/status/1071123612437045249","1071123612437045249")</f>
        <v>1071123612437045249</v>
      </c>
      <c r="F728" s="12"/>
      <c r="G728" s="11" t="s">
        <v>2869</v>
      </c>
      <c r="H728" s="12"/>
      <c r="I728" s="13">
        <v>0</v>
      </c>
      <c r="J728" s="13">
        <v>0</v>
      </c>
      <c r="K728" s="14" t="str">
        <f>HYPERLINK("https://mobile.twitter.com","Twitter Lite")</f>
        <v>Twitter Lite</v>
      </c>
      <c r="L728" s="13">
        <v>171</v>
      </c>
      <c r="M728" s="13">
        <v>622</v>
      </c>
      <c r="N728" s="13">
        <v>1</v>
      </c>
      <c r="O728" s="15"/>
      <c r="P728" s="6">
        <v>41465.004432870366</v>
      </c>
      <c r="Q728" s="16" t="s">
        <v>282</v>
      </c>
      <c r="R728" s="17" t="s">
        <v>2870</v>
      </c>
      <c r="S728" s="12"/>
      <c r="T728" s="12"/>
      <c r="U728" s="10" t="str">
        <f>HYPERLINK("https://pbs.twimg.com/profile_images/689767665758527488/ggbxEhss.png","View")</f>
        <v>View</v>
      </c>
    </row>
    <row r="729" spans="1:21" ht="40.799999999999997">
      <c r="A729" s="6">
        <v>43441.849270833336</v>
      </c>
      <c r="B729" s="7" t="str">
        <f>HYPERLINK("https://twitter.com/Madrizeleno","@Madrizeleno")</f>
        <v>@Madrizeleno</v>
      </c>
      <c r="C729" s="8" t="s">
        <v>2871</v>
      </c>
      <c r="D729" s="9" t="s">
        <v>2872</v>
      </c>
      <c r="E729" s="10" t="str">
        <f>HYPERLINK("https://twitter.com/Madrizeleno/status/1071122912827109376","1071122912827109376")</f>
        <v>1071122912827109376</v>
      </c>
      <c r="F729" s="11" t="s">
        <v>2873</v>
      </c>
      <c r="G729" s="12"/>
      <c r="H729" s="12"/>
      <c r="I729" s="13">
        <v>0</v>
      </c>
      <c r="J729" s="13">
        <v>0</v>
      </c>
      <c r="K729" s="14" t="str">
        <f t="shared" ref="K729:K731" si="132">HYPERLINK("http://twitter.com","Twitter Web Client")</f>
        <v>Twitter Web Client</v>
      </c>
      <c r="L729" s="13">
        <v>27</v>
      </c>
      <c r="M729" s="13">
        <v>65</v>
      </c>
      <c r="N729" s="13">
        <v>0</v>
      </c>
      <c r="O729" s="15"/>
      <c r="P729" s="6">
        <v>41073.710902777777</v>
      </c>
      <c r="Q729" s="16" t="s">
        <v>2874</v>
      </c>
      <c r="R729" s="17" t="s">
        <v>2875</v>
      </c>
      <c r="S729" s="12"/>
      <c r="T729" s="12"/>
      <c r="U729" s="10" t="str">
        <f>HYPERLINK("https://pbs.twimg.com/profile_images/976067427938324480/fthZtvfS.jpg","View")</f>
        <v>View</v>
      </c>
    </row>
    <row r="730" spans="1:21" ht="40.799999999999997">
      <c r="A730" s="6">
        <v>43441.848368055551</v>
      </c>
      <c r="B730" s="7" t="str">
        <f>HYPERLINK("https://twitter.com/roblebgp","@roblebgp")</f>
        <v>@roblebgp</v>
      </c>
      <c r="C730" s="8" t="s">
        <v>2876</v>
      </c>
      <c r="D730" s="9" t="s">
        <v>1175</v>
      </c>
      <c r="E730" s="10" t="str">
        <f>HYPERLINK("https://twitter.com/roblebgp/status/1071122586912911360","1071122586912911360")</f>
        <v>1071122586912911360</v>
      </c>
      <c r="F730" s="11" t="s">
        <v>1176</v>
      </c>
      <c r="G730" s="12"/>
      <c r="H730" s="12"/>
      <c r="I730" s="13">
        <v>3</v>
      </c>
      <c r="J730" s="13">
        <v>3</v>
      </c>
      <c r="K730" s="14" t="str">
        <f t="shared" si="132"/>
        <v>Twitter Web Client</v>
      </c>
      <c r="L730" s="13">
        <v>1454</v>
      </c>
      <c r="M730" s="13">
        <v>1549</v>
      </c>
      <c r="N730" s="13">
        <v>3</v>
      </c>
      <c r="O730" s="15"/>
      <c r="P730" s="6">
        <v>41230.753240740742</v>
      </c>
      <c r="Q730" s="16" t="s">
        <v>60</v>
      </c>
      <c r="R730" s="17" t="s">
        <v>2877</v>
      </c>
      <c r="S730" s="11" t="s">
        <v>2878</v>
      </c>
      <c r="T730" s="12"/>
      <c r="U730" s="10" t="str">
        <f>HYPERLINK("https://pbs.twimg.com/profile_images/1007592003629191168/Px2iHzbR.jpg","View")</f>
        <v>View</v>
      </c>
    </row>
    <row r="731" spans="1:21" ht="30.6">
      <c r="A731" s="6">
        <v>43441.847638888888</v>
      </c>
      <c r="B731" s="7" t="str">
        <f>HYPERLINK("https://twitter.com/zamozu","@zamozu")</f>
        <v>@zamozu</v>
      </c>
      <c r="C731" s="8" t="s">
        <v>2879</v>
      </c>
      <c r="D731" s="9" t="s">
        <v>2880</v>
      </c>
      <c r="E731" s="10" t="str">
        <f>HYPERLINK("https://twitter.com/zamozu/status/1071122323091144705","1071122323091144705")</f>
        <v>1071122323091144705</v>
      </c>
      <c r="F731" s="11" t="s">
        <v>2881</v>
      </c>
      <c r="G731" s="12"/>
      <c r="H731" s="12"/>
      <c r="I731" s="13">
        <v>0</v>
      </c>
      <c r="J731" s="13">
        <v>0</v>
      </c>
      <c r="K731" s="14" t="str">
        <f t="shared" si="132"/>
        <v>Twitter Web Client</v>
      </c>
      <c r="L731" s="13">
        <v>624</v>
      </c>
      <c r="M731" s="13">
        <v>1496</v>
      </c>
      <c r="N731" s="13">
        <v>2</v>
      </c>
      <c r="O731" s="15"/>
      <c r="P731" s="6">
        <v>40641.783576388887</v>
      </c>
      <c r="Q731" s="16" t="s">
        <v>60</v>
      </c>
      <c r="R731" s="17" t="s">
        <v>2882</v>
      </c>
      <c r="S731" s="11" t="s">
        <v>2883</v>
      </c>
      <c r="T731" s="12"/>
      <c r="U731" s="10" t="str">
        <f>HYPERLINK("https://pbs.twimg.com/profile_images/1877270561/09.jpg","View")</f>
        <v>View</v>
      </c>
    </row>
    <row r="732" spans="1:21" ht="40.799999999999997">
      <c r="A732" s="6">
        <v>43441.846967592588</v>
      </c>
      <c r="B732" s="7" t="str">
        <f>HYPERLINK("https://twitter.com/marino1713","@marino1713")</f>
        <v>@marino1713</v>
      </c>
      <c r="C732" s="8" t="s">
        <v>2884</v>
      </c>
      <c r="D732" s="9" t="s">
        <v>2885</v>
      </c>
      <c r="E732" s="10" t="str">
        <f>HYPERLINK("https://twitter.com/marino1713/status/1071122078999474177","1071122078999474177")</f>
        <v>1071122078999474177</v>
      </c>
      <c r="F732" s="11" t="s">
        <v>2887</v>
      </c>
      <c r="G732" s="12"/>
      <c r="H732" s="12"/>
      <c r="I732" s="13">
        <v>0</v>
      </c>
      <c r="J732" s="13">
        <v>1</v>
      </c>
      <c r="K732" s="14" t="str">
        <f>HYPERLINK("http://twitter.com/download/android","Twitter for Android")</f>
        <v>Twitter for Android</v>
      </c>
      <c r="L732" s="13">
        <v>11382</v>
      </c>
      <c r="M732" s="13">
        <v>12636</v>
      </c>
      <c r="N732" s="13">
        <v>150</v>
      </c>
      <c r="O732" s="15"/>
      <c r="P732" s="6">
        <v>41268.516377314816</v>
      </c>
      <c r="Q732" s="16" t="s">
        <v>2888</v>
      </c>
      <c r="R732" s="17" t="s">
        <v>2889</v>
      </c>
      <c r="S732" s="12"/>
      <c r="T732" s="12"/>
      <c r="U732" s="10" t="str">
        <f>HYPERLINK("https://pbs.twimg.com/profile_images/899061260834287616/wMcUnKAX.jpg","View")</f>
        <v>View</v>
      </c>
    </row>
    <row r="733" spans="1:21" ht="13.2">
      <c r="A733" s="6">
        <v>43441.846956018519</v>
      </c>
      <c r="B733" s="7" t="str">
        <f>HYPERLINK("https://twitter.com/Serurigo","@Serurigo")</f>
        <v>@Serurigo</v>
      </c>
      <c r="C733" s="8" t="s">
        <v>2890</v>
      </c>
      <c r="D733" s="9" t="s">
        <v>2716</v>
      </c>
      <c r="E733" s="10" t="str">
        <f>HYPERLINK("https://twitter.com/Serurigo/status/1071122074712899585","1071122074712899585")</f>
        <v>1071122074712899585</v>
      </c>
      <c r="F733" s="11" t="s">
        <v>2717</v>
      </c>
      <c r="G733" s="12"/>
      <c r="H733" s="12"/>
      <c r="I733" s="13">
        <v>0</v>
      </c>
      <c r="J733" s="13">
        <v>0</v>
      </c>
      <c r="K733" s="14" t="str">
        <f t="shared" ref="K733:K734" si="133">HYPERLINK("http://twitter.com/download/iphone","Twitter for iPhone")</f>
        <v>Twitter for iPhone</v>
      </c>
      <c r="L733" s="13">
        <v>969</v>
      </c>
      <c r="M733" s="13">
        <v>2367</v>
      </c>
      <c r="N733" s="13">
        <v>3</v>
      </c>
      <c r="O733" s="15"/>
      <c r="P733" s="6">
        <v>40139.634085648147</v>
      </c>
      <c r="Q733" s="12"/>
      <c r="R733" s="19"/>
      <c r="S733" s="12"/>
      <c r="T733" s="12"/>
      <c r="U733" s="10" t="str">
        <f>HYPERLINK("https://pbs.twimg.com/profile_images/912056087356084224/UuYK2kC2.jpg","View")</f>
        <v>View</v>
      </c>
    </row>
    <row r="734" spans="1:21" ht="40.799999999999997">
      <c r="A734" s="6">
        <v>43441.843796296293</v>
      </c>
      <c r="B734" s="7" t="str">
        <f>HYPERLINK("https://twitter.com/soydanielfeo","@soydanielfeo")</f>
        <v>@soydanielfeo</v>
      </c>
      <c r="C734" s="8" t="s">
        <v>2243</v>
      </c>
      <c r="D734" s="9" t="s">
        <v>2892</v>
      </c>
      <c r="E734" s="10" t="str">
        <f>HYPERLINK("https://twitter.com/soydanielfeo/status/1071120926723489793","1071120926723489793")</f>
        <v>1071120926723489793</v>
      </c>
      <c r="F734" s="12"/>
      <c r="G734" s="12"/>
      <c r="H734" s="12"/>
      <c r="I734" s="13">
        <v>0</v>
      </c>
      <c r="J734" s="13">
        <v>1</v>
      </c>
      <c r="K734" s="14" t="str">
        <f t="shared" si="133"/>
        <v>Twitter for iPhone</v>
      </c>
      <c r="L734" s="13">
        <v>5669</v>
      </c>
      <c r="M734" s="13">
        <v>5366</v>
      </c>
      <c r="N734" s="13">
        <v>30</v>
      </c>
      <c r="O734" s="15"/>
      <c r="P734" s="6">
        <v>41352.916122685187</v>
      </c>
      <c r="Q734" s="16" t="s">
        <v>2245</v>
      </c>
      <c r="R734" s="17" t="s">
        <v>2246</v>
      </c>
      <c r="S734" s="12"/>
      <c r="T734" s="12"/>
      <c r="U734" s="10" t="str">
        <f>HYPERLINK("https://pbs.twimg.com/profile_images/947946490626002945/EbBdfyeF.jpg","View")</f>
        <v>View</v>
      </c>
    </row>
    <row r="735" spans="1:21" ht="13.2">
      <c r="A735" s="6">
        <v>43441.842939814815</v>
      </c>
      <c r="B735" s="7" t="str">
        <f>HYPERLINK("https://twitter.com/CarlosBienes","@CarlosBienes")</f>
        <v>@CarlosBienes</v>
      </c>
      <c r="C735" s="8" t="s">
        <v>2893</v>
      </c>
      <c r="D735" s="9" t="s">
        <v>1175</v>
      </c>
      <c r="E735" s="10" t="str">
        <f>HYPERLINK("https://twitter.com/CarlosBienes/status/1071120619792711685","1071120619792711685")</f>
        <v>1071120619792711685</v>
      </c>
      <c r="F735" s="11" t="s">
        <v>1176</v>
      </c>
      <c r="G735" s="12"/>
      <c r="H735" s="12"/>
      <c r="I735" s="13">
        <v>0</v>
      </c>
      <c r="J735" s="13">
        <v>0</v>
      </c>
      <c r="K735" s="14" t="str">
        <f>HYPERLINK("http://twitter.com","Twitter Web Client")</f>
        <v>Twitter Web Client</v>
      </c>
      <c r="L735" s="13">
        <v>169</v>
      </c>
      <c r="M735" s="13">
        <v>301</v>
      </c>
      <c r="N735" s="13">
        <v>1</v>
      </c>
      <c r="O735" s="15"/>
      <c r="P735" s="6">
        <v>40856.945115740738</v>
      </c>
      <c r="Q735" s="16" t="s">
        <v>630</v>
      </c>
      <c r="R735" s="19"/>
      <c r="S735" s="12"/>
      <c r="T735" s="12"/>
      <c r="U735" s="10" t="str">
        <f>HYPERLINK("https://pbs.twimg.com/profile_images/595511023391678464/aYpI9LWe.jpg","View")</f>
        <v>View</v>
      </c>
    </row>
    <row r="736" spans="1:21" ht="30.6">
      <c r="A736" s="6">
        <v>43441.842615740738</v>
      </c>
      <c r="B736" s="7" t="str">
        <f>HYPERLINK("https://twitter.com/vicbaguer","@vicbaguer")</f>
        <v>@vicbaguer</v>
      </c>
      <c r="C736" s="8" t="s">
        <v>2894</v>
      </c>
      <c r="D736" s="9" t="s">
        <v>575</v>
      </c>
      <c r="E736" s="10" t="str">
        <f>HYPERLINK("https://twitter.com/vicbaguer/status/1071120502801031174","1071120502801031174")</f>
        <v>1071120502801031174</v>
      </c>
      <c r="F736" s="11" t="s">
        <v>576</v>
      </c>
      <c r="G736" s="12"/>
      <c r="H736" s="12"/>
      <c r="I736" s="13">
        <v>0</v>
      </c>
      <c r="J736" s="13">
        <v>0</v>
      </c>
      <c r="K736" s="14" t="str">
        <f>HYPERLINK("http://twitter.com/download/android","Twitter for Android")</f>
        <v>Twitter for Android</v>
      </c>
      <c r="L736" s="13">
        <v>562</v>
      </c>
      <c r="M736" s="13">
        <v>612</v>
      </c>
      <c r="N736" s="13">
        <v>4</v>
      </c>
      <c r="O736" s="15"/>
      <c r="P736" s="6">
        <v>43025.954618055555</v>
      </c>
      <c r="Q736" s="16" t="s">
        <v>2895</v>
      </c>
      <c r="R736" s="17" t="s">
        <v>2896</v>
      </c>
      <c r="S736" s="12"/>
      <c r="T736" s="12"/>
      <c r="U736" s="10" t="str">
        <f>HYPERLINK("https://pbs.twimg.com/profile_images/998625983434391552/zMQe5s7O.jpg","View")</f>
        <v>View</v>
      </c>
    </row>
    <row r="737" spans="1:21" ht="20.399999999999999">
      <c r="A737" s="6">
        <v>43441.842233796298</v>
      </c>
      <c r="B737" s="7" t="str">
        <f>HYPERLINK("https://twitter.com/Vanessa_Spain_","@Vanessa_Spain_")</f>
        <v>@Vanessa_Spain_</v>
      </c>
      <c r="C737" s="8" t="s">
        <v>2897</v>
      </c>
      <c r="D737" s="9" t="s">
        <v>2531</v>
      </c>
      <c r="E737" s="10" t="str">
        <f>HYPERLINK("https://twitter.com/Vanessa_Spain_/status/1071120363889790981","1071120363889790981")</f>
        <v>1071120363889790981</v>
      </c>
      <c r="F737" s="11" t="s">
        <v>2370</v>
      </c>
      <c r="G737" s="12"/>
      <c r="H737" s="12"/>
      <c r="I737" s="13">
        <v>3</v>
      </c>
      <c r="J737" s="13">
        <v>3</v>
      </c>
      <c r="K737" s="14" t="str">
        <f>HYPERLINK("http://twitter.com/download/iphone","Twitter for iPhone")</f>
        <v>Twitter for iPhone</v>
      </c>
      <c r="L737" s="13">
        <v>493</v>
      </c>
      <c r="M737" s="13">
        <v>400</v>
      </c>
      <c r="N737" s="13">
        <v>1</v>
      </c>
      <c r="O737" s="15"/>
      <c r="P737" s="6">
        <v>43207.795393518521</v>
      </c>
      <c r="Q737" s="16" t="s">
        <v>60</v>
      </c>
      <c r="R737" s="17" t="s">
        <v>2898</v>
      </c>
      <c r="S737" s="12"/>
      <c r="T737" s="12"/>
      <c r="U737" s="10" t="str">
        <f>HYPERLINK("https://pbs.twimg.com/profile_images/993618635741679618/H_Pd6ysH.jpg","View")</f>
        <v>View</v>
      </c>
    </row>
    <row r="738" spans="1:21" ht="51">
      <c r="A738" s="6">
        <v>43441.841435185182</v>
      </c>
      <c r="B738" s="7" t="str">
        <f>HYPERLINK("https://twitter.com/SoyCibelino","@SoyCibelino")</f>
        <v>@SoyCibelino</v>
      </c>
      <c r="C738" s="8" t="s">
        <v>2899</v>
      </c>
      <c r="D738" s="9" t="s">
        <v>2900</v>
      </c>
      <c r="E738" s="10" t="str">
        <f>HYPERLINK("https://twitter.com/SoyCibelino/status/1071120073178390529","1071120073178390529")</f>
        <v>1071120073178390529</v>
      </c>
      <c r="F738" s="12"/>
      <c r="G738" s="12"/>
      <c r="H738" s="12"/>
      <c r="I738" s="13">
        <v>0</v>
      </c>
      <c r="J738" s="13">
        <v>0</v>
      </c>
      <c r="K738" s="14" t="str">
        <f>HYPERLINK("http://twitter.com","Twitter Web Client")</f>
        <v>Twitter Web Client</v>
      </c>
      <c r="L738" s="13">
        <v>2423</v>
      </c>
      <c r="M738" s="13">
        <v>3748</v>
      </c>
      <c r="N738" s="13">
        <v>97</v>
      </c>
      <c r="O738" s="15"/>
      <c r="P738" s="6">
        <v>40598.735532407409</v>
      </c>
      <c r="Q738" s="16" t="s">
        <v>26</v>
      </c>
      <c r="R738" s="17" t="s">
        <v>2901</v>
      </c>
      <c r="S738" s="11" t="s">
        <v>2902</v>
      </c>
      <c r="T738" s="12"/>
      <c r="U738" s="10" t="str">
        <f>HYPERLINK("https://pbs.twimg.com/profile_images/1070098975380987904/eilILu9_.jpg","View")</f>
        <v>View</v>
      </c>
    </row>
    <row r="739" spans="1:21" ht="30.6">
      <c r="A739" s="6">
        <v>43441.841284722221</v>
      </c>
      <c r="B739" s="7" t="str">
        <f>HYPERLINK("https://twitter.com/galicia_diario","@galicia_diario")</f>
        <v>@galicia_diario</v>
      </c>
      <c r="C739" s="8" t="s">
        <v>2903</v>
      </c>
      <c r="D739" s="9" t="s">
        <v>2904</v>
      </c>
      <c r="E739" s="10" t="str">
        <f>HYPERLINK("https://twitter.com/galicia_diario/status/1071120017641668609","1071120017641668609")</f>
        <v>1071120017641668609</v>
      </c>
      <c r="F739" s="11" t="s">
        <v>1540</v>
      </c>
      <c r="G739" s="12"/>
      <c r="H739" s="12"/>
      <c r="I739" s="13">
        <v>0</v>
      </c>
      <c r="J739" s="13">
        <v>0</v>
      </c>
      <c r="K739" s="14" t="str">
        <f>HYPERLINK("http://www.facebook.com/twitter","Facebook")</f>
        <v>Facebook</v>
      </c>
      <c r="L739" s="13">
        <v>1735</v>
      </c>
      <c r="M739" s="13">
        <v>846</v>
      </c>
      <c r="N739" s="13">
        <v>185</v>
      </c>
      <c r="O739" s="15"/>
      <c r="P739" s="6">
        <v>41907.502986111111</v>
      </c>
      <c r="Q739" s="16" t="s">
        <v>2453</v>
      </c>
      <c r="R739" s="17" t="s">
        <v>2905</v>
      </c>
      <c r="S739" s="11" t="s">
        <v>2906</v>
      </c>
      <c r="T739" s="12"/>
      <c r="U739" s="10" t="str">
        <f>HYPERLINK("https://pbs.twimg.com/profile_images/515079523507777536/_4t-O0MR.jpeg","View")</f>
        <v>View</v>
      </c>
    </row>
    <row r="740" spans="1:21" ht="71.400000000000006">
      <c r="A740" s="6">
        <v>43441.840370370366</v>
      </c>
      <c r="B740" s="7" t="str">
        <f>HYPERLINK("https://twitter.com/JoseManuelPorr9","@JoseManuelPorr9")</f>
        <v>@JoseManuelPorr9</v>
      </c>
      <c r="C740" s="8" t="s">
        <v>2907</v>
      </c>
      <c r="D740" s="9" t="s">
        <v>2908</v>
      </c>
      <c r="E740" s="10" t="str">
        <f>HYPERLINK("https://twitter.com/JoseManuelPorr9/status/1071119685444427778","1071119685444427778")</f>
        <v>1071119685444427778</v>
      </c>
      <c r="F740" s="11" t="s">
        <v>2909</v>
      </c>
      <c r="G740" s="11" t="s">
        <v>2910</v>
      </c>
      <c r="H740" s="12"/>
      <c r="I740" s="13">
        <v>0</v>
      </c>
      <c r="J740" s="13">
        <v>0</v>
      </c>
      <c r="K740" s="14" t="str">
        <f>HYPERLINK("http://twitter.com/download/android","Twitter for Android")</f>
        <v>Twitter for Android</v>
      </c>
      <c r="L740" s="13">
        <v>6</v>
      </c>
      <c r="M740" s="13">
        <v>34</v>
      </c>
      <c r="N740" s="13">
        <v>0</v>
      </c>
      <c r="O740" s="15"/>
      <c r="P740" s="6">
        <v>43440.431006944447</v>
      </c>
      <c r="Q740" s="12"/>
      <c r="R740" s="17" t="s">
        <v>2911</v>
      </c>
      <c r="S740" s="12"/>
      <c r="T740" s="12"/>
      <c r="U740" s="10" t="str">
        <f>HYPERLINK("https://pbs.twimg.com/profile_images/1070612229509271552/9Vm-r7Yc.jpg","View")</f>
        <v>View</v>
      </c>
    </row>
    <row r="741" spans="1:21" ht="20.399999999999999">
      <c r="A741" s="6">
        <v>43441.840127314819</v>
      </c>
      <c r="B741" s="7" t="str">
        <f>HYPERLINK("https://twitter.com/joalep1972","@joalep1972")</f>
        <v>@joalep1972</v>
      </c>
      <c r="C741" s="8" t="s">
        <v>2912</v>
      </c>
      <c r="D741" s="9" t="s">
        <v>2913</v>
      </c>
      <c r="E741" s="10" t="str">
        <f>HYPERLINK("https://twitter.com/joalep1972/status/1071119598009942017","1071119598009942017")</f>
        <v>1071119598009942017</v>
      </c>
      <c r="F741" s="11" t="s">
        <v>2914</v>
      </c>
      <c r="G741" s="12"/>
      <c r="H741" s="12"/>
      <c r="I741" s="13">
        <v>0</v>
      </c>
      <c r="J741" s="13">
        <v>0</v>
      </c>
      <c r="K741" s="14" t="str">
        <f>HYPERLINK("http://twitter.com","Twitter Web Client")</f>
        <v>Twitter Web Client</v>
      </c>
      <c r="L741" s="13">
        <v>454</v>
      </c>
      <c r="M741" s="13">
        <v>4364</v>
      </c>
      <c r="N741" s="13">
        <v>0</v>
      </c>
      <c r="O741" s="15"/>
      <c r="P741" s="6">
        <v>43235.942337962959</v>
      </c>
      <c r="Q741" s="16" t="s">
        <v>1415</v>
      </c>
      <c r="R741" s="19"/>
      <c r="S741" s="11" t="s">
        <v>2915</v>
      </c>
      <c r="T741" s="12"/>
      <c r="U741" s="10" t="str">
        <f>HYPERLINK("https://pbs.twimg.com/profile_images/996494728802775043/RNsbVmZZ.jpg","View")</f>
        <v>View</v>
      </c>
    </row>
    <row r="742" spans="1:21" ht="40.799999999999997">
      <c r="A742" s="6">
        <v>43441.839583333334</v>
      </c>
      <c r="B742" s="7" t="str">
        <f>HYPERLINK("https://twitter.com/norcatalan","@norcatalan")</f>
        <v>@norcatalan</v>
      </c>
      <c r="C742" s="8" t="s">
        <v>2916</v>
      </c>
      <c r="D742" s="9" t="s">
        <v>2917</v>
      </c>
      <c r="E742" s="10" t="str">
        <f>HYPERLINK("https://twitter.com/norcatalan/status/1071119401150164992","1071119401150164992")</f>
        <v>1071119401150164992</v>
      </c>
      <c r="F742" s="12"/>
      <c r="G742" s="12"/>
      <c r="H742" s="12"/>
      <c r="I742" s="13">
        <v>24</v>
      </c>
      <c r="J742" s="13">
        <v>93</v>
      </c>
      <c r="K742" s="14" t="str">
        <f>HYPERLINK("https://about.twitter.com/products/tweetdeck","TweetDeck")</f>
        <v>TweetDeck</v>
      </c>
      <c r="L742" s="13">
        <v>13613</v>
      </c>
      <c r="M742" s="13">
        <v>29</v>
      </c>
      <c r="N742" s="13">
        <v>46</v>
      </c>
      <c r="O742" s="15"/>
      <c r="P742" s="6">
        <v>43032.844004629631</v>
      </c>
      <c r="Q742" s="16" t="s">
        <v>2918</v>
      </c>
      <c r="R742" s="17" t="s">
        <v>2919</v>
      </c>
      <c r="S742" s="11" t="s">
        <v>2920</v>
      </c>
      <c r="T742" s="12"/>
      <c r="U742" s="10" t="str">
        <f>HYPERLINK("https://pbs.twimg.com/profile_images/922896848737665024/2txos7aK.jpg","View")</f>
        <v>View</v>
      </c>
    </row>
    <row r="743" spans="1:21" ht="40.799999999999997">
      <c r="A743" s="6">
        <v>43441.835960648154</v>
      </c>
      <c r="B743" s="7" t="str">
        <f>HYPERLINK("https://twitter.com/Tonioga","@Tonioga")</f>
        <v>@Tonioga</v>
      </c>
      <c r="C743" s="8" t="s">
        <v>2557</v>
      </c>
      <c r="D743" s="9" t="s">
        <v>2921</v>
      </c>
      <c r="E743" s="10" t="str">
        <f>HYPERLINK("https://twitter.com/Tonioga/status/1071118088316301312","1071118088316301312")</f>
        <v>1071118088316301312</v>
      </c>
      <c r="F743" s="11" t="s">
        <v>1628</v>
      </c>
      <c r="G743" s="12"/>
      <c r="H743" s="12"/>
      <c r="I743" s="13">
        <v>0</v>
      </c>
      <c r="J743" s="13">
        <v>1</v>
      </c>
      <c r="K743" s="14" t="str">
        <f>HYPERLINK("http://twitter.com","Twitter Web Client")</f>
        <v>Twitter Web Client</v>
      </c>
      <c r="L743" s="13">
        <v>147</v>
      </c>
      <c r="M743" s="13">
        <v>180</v>
      </c>
      <c r="N743" s="13">
        <v>2</v>
      </c>
      <c r="O743" s="15"/>
      <c r="P743" s="6">
        <v>40568.625196759262</v>
      </c>
      <c r="Q743" s="16" t="s">
        <v>85</v>
      </c>
      <c r="R743" s="17" t="s">
        <v>2922</v>
      </c>
      <c r="S743" s="12"/>
      <c r="T743" s="12"/>
      <c r="U743" s="10" t="str">
        <f>HYPERLINK("https://pbs.twimg.com/profile_images/990637670450778113/mJSPx4sK.jpg","View")</f>
        <v>View</v>
      </c>
    </row>
    <row r="744" spans="1:21" ht="30.6">
      <c r="A744" s="6">
        <v>43441.835590277777</v>
      </c>
      <c r="B744" s="7" t="str">
        <f>HYPERLINK("https://twitter.com/PolicarpoAlhuce","@PolicarpoAlhuce")</f>
        <v>@PolicarpoAlhuce</v>
      </c>
      <c r="C744" s="8" t="s">
        <v>2923</v>
      </c>
      <c r="D744" s="9" t="s">
        <v>2924</v>
      </c>
      <c r="E744" s="10" t="str">
        <f>HYPERLINK("https://twitter.com/PolicarpoAlhuce/status/1071117954421612545","1071117954421612545")</f>
        <v>1071117954421612545</v>
      </c>
      <c r="F744" s="11" t="s">
        <v>576</v>
      </c>
      <c r="G744" s="12"/>
      <c r="H744" s="12"/>
      <c r="I744" s="13">
        <v>1</v>
      </c>
      <c r="J744" s="13">
        <v>3</v>
      </c>
      <c r="K744" s="14" t="str">
        <f>HYPERLINK("http://twitter.com/download/android","Twitter for Android")</f>
        <v>Twitter for Android</v>
      </c>
      <c r="L744" s="13">
        <v>305</v>
      </c>
      <c r="M744" s="13">
        <v>729</v>
      </c>
      <c r="N744" s="13">
        <v>4</v>
      </c>
      <c r="O744" s="15"/>
      <c r="P744" s="6">
        <v>41263.492025462961</v>
      </c>
      <c r="Q744" s="12"/>
      <c r="R744" s="17" t="s">
        <v>2925</v>
      </c>
      <c r="S744" s="12"/>
      <c r="T744" s="12"/>
      <c r="U744" s="10" t="str">
        <f>HYPERLINK("https://pbs.twimg.com/profile_images/1070827613327945729/uQ0D6RV_.jpg","View")</f>
        <v>View</v>
      </c>
    </row>
    <row r="745" spans="1:21" ht="51">
      <c r="A745" s="6">
        <v>43441.835358796292</v>
      </c>
      <c r="B745" s="7" t="str">
        <f>HYPERLINK("https://twitter.com/bugallego","@bugallego")</f>
        <v>@bugallego</v>
      </c>
      <c r="C745" s="8" t="s">
        <v>846</v>
      </c>
      <c r="D745" s="9" t="s">
        <v>2926</v>
      </c>
      <c r="E745" s="10" t="str">
        <f>HYPERLINK("https://twitter.com/bugallego/status/1071117872037007361","1071117872037007361")</f>
        <v>1071117872037007361</v>
      </c>
      <c r="F745" s="12"/>
      <c r="G745" s="12"/>
      <c r="H745" s="12"/>
      <c r="I745" s="13">
        <v>0</v>
      </c>
      <c r="J745" s="13">
        <v>0</v>
      </c>
      <c r="K745" s="14" t="str">
        <f>HYPERLINK("http://twitter.com/download/iphone","Twitter for iPhone")</f>
        <v>Twitter for iPhone</v>
      </c>
      <c r="L745" s="13">
        <v>896</v>
      </c>
      <c r="M745" s="13">
        <v>2078</v>
      </c>
      <c r="N745" s="13">
        <v>48</v>
      </c>
      <c r="O745" s="15"/>
      <c r="P745" s="6">
        <v>41268.588877314818</v>
      </c>
      <c r="Q745" s="16" t="s">
        <v>848</v>
      </c>
      <c r="R745" s="19"/>
      <c r="S745" s="12"/>
      <c r="T745" s="12"/>
      <c r="U745" s="10" t="str">
        <f>HYPERLINK("https://pbs.twimg.com/profile_images/649499656670564352/wMuIX5o7.jpg","View")</f>
        <v>View</v>
      </c>
    </row>
    <row r="746" spans="1:21" ht="40.799999999999997">
      <c r="A746" s="6">
        <v>43441.835312499999</v>
      </c>
      <c r="B746" s="7" t="str">
        <f>HYPERLINK("https://twitter.com/jesusocaridad","@jesusocaridad")</f>
        <v>@jesusocaridad</v>
      </c>
      <c r="C746" s="8" t="s">
        <v>2927</v>
      </c>
      <c r="D746" s="9" t="s">
        <v>2928</v>
      </c>
      <c r="E746" s="10" t="str">
        <f>HYPERLINK("https://twitter.com/jesusocaridad/status/1071117855402405894","1071117855402405894")</f>
        <v>1071117855402405894</v>
      </c>
      <c r="F746" s="11" t="s">
        <v>2929</v>
      </c>
      <c r="G746" s="12"/>
      <c r="H746" s="12"/>
      <c r="I746" s="13">
        <v>0</v>
      </c>
      <c r="J746" s="13">
        <v>0</v>
      </c>
      <c r="K746" s="14" t="str">
        <f t="shared" ref="K746:K748" si="134">HYPERLINK("http://twitter.com/download/android","Twitter for Android")</f>
        <v>Twitter for Android</v>
      </c>
      <c r="L746" s="13">
        <v>44</v>
      </c>
      <c r="M746" s="13">
        <v>122</v>
      </c>
      <c r="N746" s="13">
        <v>3</v>
      </c>
      <c r="O746" s="15"/>
      <c r="P746" s="6">
        <v>41495.792581018519</v>
      </c>
      <c r="Q746" s="16" t="s">
        <v>200</v>
      </c>
      <c r="R746" s="17" t="s">
        <v>2930</v>
      </c>
      <c r="S746" s="12"/>
      <c r="T746" s="12"/>
      <c r="U746" s="10" t="str">
        <f>HYPERLINK("https://pbs.twimg.com/profile_images/1033302949034897409/VttNarc4.jpg","View")</f>
        <v>View</v>
      </c>
    </row>
    <row r="747" spans="1:21" ht="40.799999999999997">
      <c r="A747" s="6">
        <v>43441.835185185184</v>
      </c>
      <c r="B747" s="7" t="str">
        <f>HYPERLINK("https://twitter.com/JosuMari68","@JosuMari68")</f>
        <v>@JosuMari68</v>
      </c>
      <c r="C747" s="8" t="s">
        <v>2931</v>
      </c>
      <c r="D747" s="9" t="s">
        <v>2932</v>
      </c>
      <c r="E747" s="10" t="str">
        <f>HYPERLINK("https://twitter.com/JosuMari68/status/1071117809986494464","1071117809986494464")</f>
        <v>1071117809986494464</v>
      </c>
      <c r="F747" s="12"/>
      <c r="G747" s="11" t="s">
        <v>2933</v>
      </c>
      <c r="H747" s="12"/>
      <c r="I747" s="13">
        <v>0</v>
      </c>
      <c r="J747" s="13">
        <v>1</v>
      </c>
      <c r="K747" s="14" t="str">
        <f t="shared" si="134"/>
        <v>Twitter for Android</v>
      </c>
      <c r="L747" s="13">
        <v>348</v>
      </c>
      <c r="M747" s="13">
        <v>551</v>
      </c>
      <c r="N747" s="13">
        <v>2</v>
      </c>
      <c r="O747" s="15"/>
      <c r="P747" s="6">
        <v>42633.512824074074</v>
      </c>
      <c r="Q747" s="16" t="s">
        <v>2934</v>
      </c>
      <c r="R747" s="17" t="s">
        <v>2935</v>
      </c>
      <c r="S747" s="12"/>
      <c r="T747" s="12"/>
      <c r="U747" s="10" t="str">
        <f>HYPERLINK("https://pbs.twimg.com/profile_images/1069863362912243712/hlMEtgCU.jpg","View")</f>
        <v>View</v>
      </c>
    </row>
    <row r="748" spans="1:21" ht="30.6">
      <c r="A748" s="6">
        <v>43441.834699074076</v>
      </c>
      <c r="B748" s="7" t="str">
        <f>HYPERLINK("https://twitter.com/fidelfotografo","@fidelfotografo")</f>
        <v>@fidelfotografo</v>
      </c>
      <c r="C748" s="8" t="s">
        <v>2936</v>
      </c>
      <c r="D748" s="9" t="s">
        <v>2937</v>
      </c>
      <c r="E748" s="10" t="str">
        <f>HYPERLINK("https://twitter.com/fidelfotografo/status/1071117631812456448","1071117631812456448")</f>
        <v>1071117631812456448</v>
      </c>
      <c r="F748" s="11" t="s">
        <v>2938</v>
      </c>
      <c r="G748" s="12"/>
      <c r="H748" s="12"/>
      <c r="I748" s="13">
        <v>1</v>
      </c>
      <c r="J748" s="13">
        <v>1</v>
      </c>
      <c r="K748" s="14" t="str">
        <f t="shared" si="134"/>
        <v>Twitter for Android</v>
      </c>
      <c r="L748" s="13">
        <v>820</v>
      </c>
      <c r="M748" s="13">
        <v>789</v>
      </c>
      <c r="N748" s="13">
        <v>27</v>
      </c>
      <c r="O748" s="15"/>
      <c r="P748" s="6">
        <v>40281.511516203704</v>
      </c>
      <c r="Q748" s="12"/>
      <c r="R748" s="17" t="s">
        <v>2939</v>
      </c>
      <c r="S748" s="12"/>
      <c r="T748" s="12"/>
      <c r="U748" s="10" t="str">
        <f>HYPERLINK("https://pbs.twimg.com/profile_images/1035884598146859008/2TVsFgRl.jpg","View")</f>
        <v>View</v>
      </c>
    </row>
    <row r="749" spans="1:21" ht="30.6">
      <c r="A749" s="6">
        <v>43441.833796296298</v>
      </c>
      <c r="B749" s="7" t="str">
        <f>HYPERLINK("https://twitter.com/GlezFeder","@GlezFeder")</f>
        <v>@GlezFeder</v>
      </c>
      <c r="C749" s="8" t="s">
        <v>799</v>
      </c>
      <c r="D749" s="9" t="s">
        <v>1514</v>
      </c>
      <c r="E749" s="10" t="str">
        <f>HYPERLINK("https://twitter.com/GlezFeder/status/1071117304686100480","1071117304686100480")</f>
        <v>1071117304686100480</v>
      </c>
      <c r="F749" s="11" t="s">
        <v>246</v>
      </c>
      <c r="G749" s="12"/>
      <c r="H749" s="12"/>
      <c r="I749" s="13">
        <v>0</v>
      </c>
      <c r="J749" s="13">
        <v>1</v>
      </c>
      <c r="K749" s="14" t="str">
        <f>HYPERLINK("http://twitter.com","Twitter Web Client")</f>
        <v>Twitter Web Client</v>
      </c>
      <c r="L749" s="13">
        <v>237</v>
      </c>
      <c r="M749" s="13">
        <v>267</v>
      </c>
      <c r="N749" s="13">
        <v>2</v>
      </c>
      <c r="O749" s="15"/>
      <c r="P749" s="6">
        <v>43247.825613425928</v>
      </c>
      <c r="Q749" s="16" t="s">
        <v>802</v>
      </c>
      <c r="R749" s="17" t="s">
        <v>803</v>
      </c>
      <c r="S749" s="12"/>
      <c r="T749" s="12"/>
      <c r="U749" s="10" t="str">
        <f>HYPERLINK("https://pbs.twimg.com/profile_images/1060247976700973056/3K9K-vjB.jpg","View")</f>
        <v>View</v>
      </c>
    </row>
    <row r="750" spans="1:21" ht="30.6">
      <c r="A750" s="6">
        <v>43441.833668981482</v>
      </c>
      <c r="B750" s="7" t="str">
        <f>HYPERLINK("https://twitter.com/elpais_espana","@elpais_espana")</f>
        <v>@elpais_espana</v>
      </c>
      <c r="C750" s="8" t="s">
        <v>2940</v>
      </c>
      <c r="D750" s="9" t="s">
        <v>2531</v>
      </c>
      <c r="E750" s="10" t="str">
        <f>HYPERLINK("https://twitter.com/elpais_espana/status/1071117258049626112","1071117258049626112")</f>
        <v>1071117258049626112</v>
      </c>
      <c r="F750" s="11" t="s">
        <v>2941</v>
      </c>
      <c r="G750" s="12"/>
      <c r="H750" s="12"/>
      <c r="I750" s="13">
        <v>7</v>
      </c>
      <c r="J750" s="13">
        <v>15</v>
      </c>
      <c r="K750" s="14" t="str">
        <f>HYPERLINK("https://www.hootsuite.com","Hootsuite Inc.")</f>
        <v>Hootsuite Inc.</v>
      </c>
      <c r="L750" s="13">
        <v>405189</v>
      </c>
      <c r="M750" s="13">
        <v>799</v>
      </c>
      <c r="N750" s="13">
        <v>6352</v>
      </c>
      <c r="O750" s="18" t="s">
        <v>41</v>
      </c>
      <c r="P750" s="6">
        <v>40245.788946759261</v>
      </c>
      <c r="Q750" s="16" t="s">
        <v>200</v>
      </c>
      <c r="R750" s="17" t="s">
        <v>2942</v>
      </c>
      <c r="S750" s="11" t="s">
        <v>2943</v>
      </c>
      <c r="T750" s="12"/>
      <c r="U750" s="10" t="str">
        <f>HYPERLINK("https://pbs.twimg.com/profile_images/917337394914955264/aoU6Bl-8.jpg","View")</f>
        <v>View</v>
      </c>
    </row>
    <row r="751" spans="1:21" ht="51">
      <c r="A751" s="6">
        <v>43441.832777777774</v>
      </c>
      <c r="B751" s="7" t="str">
        <f>HYPERLINK("https://twitter.com/mingaras","@mingaras")</f>
        <v>@mingaras</v>
      </c>
      <c r="C751" s="8" t="s">
        <v>2944</v>
      </c>
      <c r="D751" s="9" t="s">
        <v>2945</v>
      </c>
      <c r="E751" s="10" t="str">
        <f>HYPERLINK("https://twitter.com/mingaras/status/1071116937642557440","1071116937642557440")</f>
        <v>1071116937642557440</v>
      </c>
      <c r="F751" s="12"/>
      <c r="G751" s="11" t="s">
        <v>2946</v>
      </c>
      <c r="H751" s="12"/>
      <c r="I751" s="13">
        <v>10</v>
      </c>
      <c r="J751" s="13">
        <v>13</v>
      </c>
      <c r="K751" s="14" t="str">
        <f>HYPERLINK("http://twitter.com","Twitter Web Client")</f>
        <v>Twitter Web Client</v>
      </c>
      <c r="L751" s="13">
        <v>350</v>
      </c>
      <c r="M751" s="13">
        <v>309</v>
      </c>
      <c r="N751" s="13">
        <v>4</v>
      </c>
      <c r="O751" s="15"/>
      <c r="P751" s="6">
        <v>42681.897928240738</v>
      </c>
      <c r="Q751" s="16" t="s">
        <v>797</v>
      </c>
      <c r="R751" s="17" t="s">
        <v>2947</v>
      </c>
      <c r="S751" s="12"/>
      <c r="T751" s="12"/>
      <c r="U751" s="10" t="str">
        <f>HYPERLINK("https://pbs.twimg.com/profile_images/796453524414599169/bG-9zFot.jpg","View")</f>
        <v>View</v>
      </c>
    </row>
    <row r="752" spans="1:21" ht="30.6">
      <c r="A752" s="6">
        <v>43441.831030092595</v>
      </c>
      <c r="B752" s="7" t="str">
        <f>HYPERLINK("https://twitter.com/periodicovzlano","@periodicovzlano")</f>
        <v>@periodicovzlano</v>
      </c>
      <c r="C752" s="8" t="s">
        <v>869</v>
      </c>
      <c r="D752" s="9" t="s">
        <v>714</v>
      </c>
      <c r="E752" s="10" t="str">
        <f>HYPERLINK("https://twitter.com/periodicovzlano/status/1071116303166046208","1071116303166046208")</f>
        <v>1071116303166046208</v>
      </c>
      <c r="F752" s="11" t="s">
        <v>737</v>
      </c>
      <c r="G752" s="11" t="s">
        <v>2949</v>
      </c>
      <c r="H752" s="12"/>
      <c r="I752" s="13">
        <v>0</v>
      </c>
      <c r="J752" s="13">
        <v>1</v>
      </c>
      <c r="K752" s="14" t="str">
        <f>HYPERLINK("http://epmundo.com","Tuiteo TOP EP (1)")</f>
        <v>Tuiteo TOP EP (1)</v>
      </c>
      <c r="L752" s="13">
        <v>479694</v>
      </c>
      <c r="M752" s="13">
        <v>358804</v>
      </c>
      <c r="N752" s="13">
        <v>1295</v>
      </c>
      <c r="O752" s="15"/>
      <c r="P752" s="6">
        <v>40663.3512962963</v>
      </c>
      <c r="Q752" s="16" t="s">
        <v>871</v>
      </c>
      <c r="R752" s="17" t="s">
        <v>872</v>
      </c>
      <c r="S752" s="11" t="s">
        <v>873</v>
      </c>
      <c r="T752" s="12"/>
      <c r="U752" s="10" t="str">
        <f>HYPERLINK("https://pbs.twimg.com/profile_images/958328579250638849/MCz7Q8U6.jpg","View")</f>
        <v>View</v>
      </c>
    </row>
    <row r="753" spans="1:21" ht="51">
      <c r="A753" s="6">
        <v>43441.828819444447</v>
      </c>
      <c r="B753" s="7" t="str">
        <f>HYPERLINK("https://twitter.com/M_HURTADOS","@M_HURTADOS")</f>
        <v>@M_HURTADOS</v>
      </c>
      <c r="C753" s="8" t="s">
        <v>2950</v>
      </c>
      <c r="D753" s="9" t="s">
        <v>2951</v>
      </c>
      <c r="E753" s="10" t="str">
        <f>HYPERLINK("https://twitter.com/M_HURTADOS/status/1071115500271403009","1071115500271403009")</f>
        <v>1071115500271403009</v>
      </c>
      <c r="F753" s="11" t="s">
        <v>1314</v>
      </c>
      <c r="G753" s="12"/>
      <c r="H753" s="12"/>
      <c r="I753" s="13">
        <v>0</v>
      </c>
      <c r="J753" s="13">
        <v>0</v>
      </c>
      <c r="K753" s="14" t="str">
        <f>HYPERLINK("http://twitter.com","Twitter Web Client")</f>
        <v>Twitter Web Client</v>
      </c>
      <c r="L753" s="13">
        <v>1176</v>
      </c>
      <c r="M753" s="13">
        <v>257</v>
      </c>
      <c r="N753" s="13">
        <v>38</v>
      </c>
      <c r="O753" s="15"/>
      <c r="P753" s="6">
        <v>42075.033819444448</v>
      </c>
      <c r="Q753" s="16" t="s">
        <v>60</v>
      </c>
      <c r="R753" s="17" t="s">
        <v>2952</v>
      </c>
      <c r="S753" s="12"/>
      <c r="T753" s="12"/>
      <c r="U753" s="10" t="str">
        <f>HYPERLINK("https://pbs.twimg.com/profile_images/737396138018504704/hMR_uIL_.jpg","View")</f>
        <v>View</v>
      </c>
    </row>
    <row r="754" spans="1:21" ht="51">
      <c r="A754" s="6">
        <v>43441.827951388885</v>
      </c>
      <c r="B754" s="7" t="str">
        <f>HYPERLINK("https://twitter.com/MariaTabarnia","@MariaTabarnia")</f>
        <v>@MariaTabarnia</v>
      </c>
      <c r="C754" s="8" t="s">
        <v>580</v>
      </c>
      <c r="D754" s="9" t="s">
        <v>2953</v>
      </c>
      <c r="E754" s="10" t="str">
        <f>HYPERLINK("https://twitter.com/MariaTabarnia/status/1071115185040093184","1071115185040093184")</f>
        <v>1071115185040093184</v>
      </c>
      <c r="F754" s="11" t="s">
        <v>2954</v>
      </c>
      <c r="G754" s="12"/>
      <c r="H754" s="12"/>
      <c r="I754" s="13">
        <v>404</v>
      </c>
      <c r="J754" s="13">
        <v>512</v>
      </c>
      <c r="K754" s="14" t="str">
        <f>HYPERLINK("http://twitter.com/download/iphone","Twitter for iPhone")</f>
        <v>Twitter for iPhone</v>
      </c>
      <c r="L754" s="13">
        <v>12680</v>
      </c>
      <c r="M754" s="13">
        <v>13834</v>
      </c>
      <c r="N754" s="13">
        <v>55</v>
      </c>
      <c r="O754" s="15"/>
      <c r="P754" s="6">
        <v>41424.855567129627</v>
      </c>
      <c r="Q754" s="16" t="s">
        <v>583</v>
      </c>
      <c r="R754" s="17" t="s">
        <v>584</v>
      </c>
      <c r="S754" s="12"/>
      <c r="T754" s="12"/>
      <c r="U754" s="10" t="str">
        <f>HYPERLINK("https://pbs.twimg.com/profile_images/906661884199391232/L9xcUYsf.jpg","View")</f>
        <v>View</v>
      </c>
    </row>
    <row r="755" spans="1:21" ht="20.399999999999999">
      <c r="A755" s="6">
        <v>43441.827916666662</v>
      </c>
      <c r="B755" s="7" t="str">
        <f>HYPERLINK("https://twitter.com/sabor809","@sabor809")</f>
        <v>@sabor809</v>
      </c>
      <c r="C755" s="8" t="s">
        <v>2955</v>
      </c>
      <c r="D755" s="9" t="s">
        <v>2956</v>
      </c>
      <c r="E755" s="10" t="str">
        <f>HYPERLINK("https://twitter.com/sabor809/status/1071115175359590401","1071115175359590401")</f>
        <v>1071115175359590401</v>
      </c>
      <c r="F755" s="11" t="s">
        <v>2957</v>
      </c>
      <c r="G755" s="11" t="s">
        <v>2958</v>
      </c>
      <c r="H755" s="12"/>
      <c r="I755" s="13">
        <v>0</v>
      </c>
      <c r="J755" s="13">
        <v>0</v>
      </c>
      <c r="K755" s="14" t="str">
        <f>HYPERLINK("http://www.sabor809.com/","Sabor809 App")</f>
        <v>Sabor809 App</v>
      </c>
      <c r="L755" s="13">
        <v>45647</v>
      </c>
      <c r="M755" s="13">
        <v>69101</v>
      </c>
      <c r="N755" s="13">
        <v>365</v>
      </c>
      <c r="O755" s="15"/>
      <c r="P755" s="6">
        <v>42096.240636574075</v>
      </c>
      <c r="Q755" s="16" t="s">
        <v>2959</v>
      </c>
      <c r="R755" s="17" t="s">
        <v>2960</v>
      </c>
      <c r="S755" s="11" t="s">
        <v>2961</v>
      </c>
      <c r="T755" s="12"/>
      <c r="U755" s="10" t="str">
        <f>HYPERLINK("https://pbs.twimg.com/profile_images/711023236839038977/Vm3CndX1.jpg","View")</f>
        <v>View</v>
      </c>
    </row>
    <row r="756" spans="1:21" ht="51">
      <c r="A756" s="6">
        <v>43441.826817129629</v>
      </c>
      <c r="B756" s="7" t="str">
        <f>HYPERLINK("https://twitter.com/europapress","@europapress")</f>
        <v>@europapress</v>
      </c>
      <c r="C756" s="8" t="s">
        <v>2062</v>
      </c>
      <c r="D756" s="9" t="s">
        <v>2963</v>
      </c>
      <c r="E756" s="10" t="str">
        <f>HYPERLINK("https://twitter.com/europapress/status/1071114774828728321","1071114774828728321")</f>
        <v>1071114774828728321</v>
      </c>
      <c r="F756" s="11" t="s">
        <v>2964</v>
      </c>
      <c r="G756" s="11" t="s">
        <v>2965</v>
      </c>
      <c r="H756" s="12"/>
      <c r="I756" s="13">
        <v>2</v>
      </c>
      <c r="J756" s="13">
        <v>5</v>
      </c>
      <c r="K756" s="14" t="str">
        <f>HYPERLINK("http://twitter.com","Twitter Web Client")</f>
        <v>Twitter Web Client</v>
      </c>
      <c r="L756" s="13">
        <v>1100739</v>
      </c>
      <c r="M756" s="13">
        <v>1101</v>
      </c>
      <c r="N756" s="13">
        <v>13754</v>
      </c>
      <c r="O756" s="18" t="s">
        <v>41</v>
      </c>
      <c r="P756" s="6">
        <v>40246.461956018517</v>
      </c>
      <c r="Q756" s="12"/>
      <c r="R756" s="17" t="s">
        <v>2065</v>
      </c>
      <c r="S756" s="11" t="s">
        <v>2066</v>
      </c>
      <c r="T756" s="12"/>
      <c r="U756" s="10" t="str">
        <f>HYPERLINK("https://pbs.twimg.com/profile_images/876740155473788928/4V7ewUTC.jpg","View")</f>
        <v>View</v>
      </c>
    </row>
    <row r="757" spans="1:21" ht="61.2">
      <c r="A757" s="6">
        <v>43441.826458333337</v>
      </c>
      <c r="B757" s="7" t="str">
        <f>HYPERLINK("https://twitter.com/JoseLuisdelRio9","@JoseLuisdelRio9")</f>
        <v>@JoseLuisdelRio9</v>
      </c>
      <c r="C757" s="8" t="s">
        <v>2967</v>
      </c>
      <c r="D757" s="9" t="s">
        <v>2968</v>
      </c>
      <c r="E757" s="10" t="str">
        <f>HYPERLINK("https://twitter.com/JoseLuisdelRio9/status/1071114647506481153","1071114647506481153")</f>
        <v>1071114647506481153</v>
      </c>
      <c r="F757" s="16" t="s">
        <v>459</v>
      </c>
      <c r="G757" s="12"/>
      <c r="H757" s="12"/>
      <c r="I757" s="13">
        <v>0</v>
      </c>
      <c r="J757" s="13">
        <v>1</v>
      </c>
      <c r="K757" s="14" t="str">
        <f t="shared" ref="K757:K758" si="135">HYPERLINK("http://twitter.com/download/android","Twitter for Android")</f>
        <v>Twitter for Android</v>
      </c>
      <c r="L757" s="13">
        <v>1806</v>
      </c>
      <c r="M757" s="13">
        <v>2598</v>
      </c>
      <c r="N757" s="13">
        <v>11</v>
      </c>
      <c r="O757" s="15"/>
      <c r="P757" s="6">
        <v>41780.701782407406</v>
      </c>
      <c r="Q757" s="12"/>
      <c r="R757" s="19"/>
      <c r="S757" s="12"/>
      <c r="T757" s="12"/>
      <c r="U757" s="10" t="str">
        <f>HYPERLINK("https://pbs.twimg.com/profile_images/774235564761616384/v8tceDLo.jpg","View")</f>
        <v>View</v>
      </c>
    </row>
    <row r="758" spans="1:21" ht="20.399999999999999">
      <c r="A758" s="6">
        <v>43441.824907407412</v>
      </c>
      <c r="B758" s="7" t="str">
        <f>HYPERLINK("https://twitter.com/subsurrealista","@subsurrealista")</f>
        <v>@subsurrealista</v>
      </c>
      <c r="C758" s="8" t="s">
        <v>2969</v>
      </c>
      <c r="D758" s="9" t="s">
        <v>2970</v>
      </c>
      <c r="E758" s="10" t="str">
        <f>HYPERLINK("https://twitter.com/subsurrealista/status/1071114084538564608","1071114084538564608")</f>
        <v>1071114084538564608</v>
      </c>
      <c r="F758" s="12"/>
      <c r="G758" s="12"/>
      <c r="H758" s="12"/>
      <c r="I758" s="13">
        <v>0</v>
      </c>
      <c r="J758" s="13">
        <v>0</v>
      </c>
      <c r="K758" s="14" t="str">
        <f t="shared" si="135"/>
        <v>Twitter for Android</v>
      </c>
      <c r="L758" s="13">
        <v>3719</v>
      </c>
      <c r="M758" s="13">
        <v>3778</v>
      </c>
      <c r="N758" s="13">
        <v>1</v>
      </c>
      <c r="O758" s="15"/>
      <c r="P758" s="6">
        <v>42971.856215277774</v>
      </c>
      <c r="Q758" s="12"/>
      <c r="R758" s="19"/>
      <c r="S758" s="12"/>
      <c r="T758" s="12"/>
      <c r="U758" s="10" t="str">
        <f>HYPERLINK("https://pbs.twimg.com/profile_images/1050434745581088768/7pADY36K.jpg","View")</f>
        <v>View</v>
      </c>
    </row>
    <row r="759" spans="1:21" ht="30.6">
      <c r="A759" s="6">
        <v>43441.824745370366</v>
      </c>
      <c r="B759" s="7" t="str">
        <f>HYPERLINK("https://twitter.com/AguasNeutrales","@AguasNeutrales")</f>
        <v>@AguasNeutrales</v>
      </c>
      <c r="C759" s="8" t="s">
        <v>2149</v>
      </c>
      <c r="D759" s="9" t="s">
        <v>2971</v>
      </c>
      <c r="E759" s="10" t="str">
        <f>HYPERLINK("https://twitter.com/AguasNeutrales/status/1071114023343665154","1071114023343665154")</f>
        <v>1071114023343665154</v>
      </c>
      <c r="F759" s="11" t="s">
        <v>2972</v>
      </c>
      <c r="G759" s="11" t="s">
        <v>2973</v>
      </c>
      <c r="H759" s="12"/>
      <c r="I759" s="13">
        <v>0</v>
      </c>
      <c r="J759" s="13">
        <v>0</v>
      </c>
      <c r="K759" s="14" t="str">
        <f>HYPERLINK("http://twitter.com","Twitter Web Client")</f>
        <v>Twitter Web Client</v>
      </c>
      <c r="L759" s="13">
        <v>928</v>
      </c>
      <c r="M759" s="13">
        <v>1614</v>
      </c>
      <c r="N759" s="13">
        <v>7</v>
      </c>
      <c r="O759" s="15"/>
      <c r="P759" s="6">
        <v>41802.302615740744</v>
      </c>
      <c r="Q759" s="12"/>
      <c r="R759" s="17" t="s">
        <v>2153</v>
      </c>
      <c r="S759" s="12"/>
      <c r="T759" s="12"/>
      <c r="U759" s="10" t="str">
        <f>HYPERLINK("https://pbs.twimg.com/profile_images/1008462024282689536/Q3Z1dTgf.jpg","View")</f>
        <v>View</v>
      </c>
    </row>
    <row r="760" spans="1:21" ht="30.6">
      <c r="A760" s="6">
        <v>43441.822685185187</v>
      </c>
      <c r="B760" s="7" t="str">
        <f>HYPERLINK("https://twitter.com/JuanmaCrevillen","@JuanmaCrevillen")</f>
        <v>@JuanmaCrevillen</v>
      </c>
      <c r="C760" s="8" t="s">
        <v>2974</v>
      </c>
      <c r="D760" s="9" t="s">
        <v>2975</v>
      </c>
      <c r="E760" s="10" t="str">
        <f>HYPERLINK("https://twitter.com/JuanmaCrevillen/status/1071113277432872960","1071113277432872960")</f>
        <v>1071113277432872960</v>
      </c>
      <c r="F760" s="11" t="s">
        <v>2634</v>
      </c>
      <c r="G760" s="12"/>
      <c r="H760" s="12"/>
      <c r="I760" s="13">
        <v>0</v>
      </c>
      <c r="J760" s="13">
        <v>0</v>
      </c>
      <c r="K760" s="14" t="str">
        <f>HYPERLINK("http://twitter.com/download/iphone","Twitter for iPhone")</f>
        <v>Twitter for iPhone</v>
      </c>
      <c r="L760" s="13">
        <v>148</v>
      </c>
      <c r="M760" s="13">
        <v>133</v>
      </c>
      <c r="N760" s="13">
        <v>7</v>
      </c>
      <c r="O760" s="15"/>
      <c r="P760" s="6">
        <v>40954.653541666667</v>
      </c>
      <c r="Q760" s="12"/>
      <c r="R760" s="17" t="s">
        <v>2976</v>
      </c>
      <c r="S760" s="12"/>
      <c r="T760" s="12"/>
      <c r="U760" s="10" t="str">
        <f>HYPERLINK("https://pbs.twimg.com/profile_images/931093413256101888/MM9SmGHc.jpg","View")</f>
        <v>View</v>
      </c>
    </row>
    <row r="761" spans="1:21" ht="81.599999999999994">
      <c r="A761" s="6">
        <v>43441.821828703702</v>
      </c>
      <c r="B761" s="7" t="str">
        <f>HYPERLINK("https://twitter.com/Tito_Kone","@Tito_Kone")</f>
        <v>@Tito_Kone</v>
      </c>
      <c r="C761" s="8" t="s">
        <v>2977</v>
      </c>
      <c r="D761" s="9" t="s">
        <v>2978</v>
      </c>
      <c r="E761" s="10" t="str">
        <f>HYPERLINK("https://twitter.com/Tito_Kone/status/1071112969826787328","1071112969826787328")</f>
        <v>1071112969826787328</v>
      </c>
      <c r="F761" s="11" t="s">
        <v>54</v>
      </c>
      <c r="G761" s="11" t="s">
        <v>55</v>
      </c>
      <c r="H761" s="12"/>
      <c r="I761" s="13">
        <v>0</v>
      </c>
      <c r="J761" s="13">
        <v>0</v>
      </c>
      <c r="K761" s="14" t="str">
        <f>HYPERLINK("http://twitter.com/download/android","Twitter for Android")</f>
        <v>Twitter for Android</v>
      </c>
      <c r="L761" s="13">
        <v>464</v>
      </c>
      <c r="M761" s="13">
        <v>126</v>
      </c>
      <c r="N761" s="13">
        <v>16</v>
      </c>
      <c r="O761" s="15"/>
      <c r="P761" s="6">
        <v>40645.967349537037</v>
      </c>
      <c r="Q761" s="12"/>
      <c r="R761" s="17" t="s">
        <v>2979</v>
      </c>
      <c r="S761" s="11" t="s">
        <v>2980</v>
      </c>
      <c r="T761" s="12"/>
      <c r="U761" s="10" t="str">
        <f>HYPERLINK("https://pbs.twimg.com/profile_images/613281665809547264/j9cDlZkJ.jpg","View")</f>
        <v>View</v>
      </c>
    </row>
    <row r="762" spans="1:21" ht="51">
      <c r="A762" s="6">
        <v>43441.821342592593</v>
      </c>
      <c r="B762" s="7" t="str">
        <f>HYPERLINK("https://twitter.com/ElReySapur","@ElReySapur")</f>
        <v>@ElReySapur</v>
      </c>
      <c r="C762" s="8" t="s">
        <v>2981</v>
      </c>
      <c r="D762" s="9" t="s">
        <v>2982</v>
      </c>
      <c r="E762" s="10" t="str">
        <f>HYPERLINK("https://twitter.com/ElReySapur/status/1071112790105034753","1071112790105034753")</f>
        <v>1071112790105034753</v>
      </c>
      <c r="F762" s="16" t="s">
        <v>2983</v>
      </c>
      <c r="G762" s="12"/>
      <c r="H762" s="12"/>
      <c r="I762" s="13">
        <v>0</v>
      </c>
      <c r="J762" s="13">
        <v>1</v>
      </c>
      <c r="K762" s="14" t="str">
        <f>HYPERLINK("http://twitter.com/download/iphone","Twitter for iPhone")</f>
        <v>Twitter for iPhone</v>
      </c>
      <c r="L762" s="13">
        <v>289</v>
      </c>
      <c r="M762" s="13">
        <v>581</v>
      </c>
      <c r="N762" s="13">
        <v>4</v>
      </c>
      <c r="O762" s="15"/>
      <c r="P762" s="6">
        <v>42977.542488425926</v>
      </c>
      <c r="Q762" s="16" t="s">
        <v>2984</v>
      </c>
      <c r="R762" s="17" t="s">
        <v>2985</v>
      </c>
      <c r="S762" s="12"/>
      <c r="T762" s="12"/>
      <c r="U762" s="10" t="str">
        <f>HYPERLINK("https://pbs.twimg.com/profile_images/1068483005277184001/a_iFXEyM.jpg","View")</f>
        <v>View</v>
      </c>
    </row>
    <row r="763" spans="1:21" ht="20.399999999999999">
      <c r="A763" s="6">
        <v>43441.821226851855</v>
      </c>
      <c r="B763" s="7" t="str">
        <f>HYPERLINK("https://twitter.com/LaRazon_mx","@LaRazon_mx")</f>
        <v>@LaRazon_mx</v>
      </c>
      <c r="C763" s="8" t="s">
        <v>2986</v>
      </c>
      <c r="D763" s="9" t="s">
        <v>2987</v>
      </c>
      <c r="E763" s="10" t="str">
        <f>HYPERLINK("https://twitter.com/LaRazon_mx/status/1071112749680377856","1071112749680377856")</f>
        <v>1071112749680377856</v>
      </c>
      <c r="F763" s="11" t="s">
        <v>2988</v>
      </c>
      <c r="G763" s="12"/>
      <c r="H763" s="12"/>
      <c r="I763" s="13">
        <v>1</v>
      </c>
      <c r="J763" s="13">
        <v>2</v>
      </c>
      <c r="K763" s="14" t="str">
        <f>HYPERLINK("http://twitter.com/download/android","Twitter for Android")</f>
        <v>Twitter for Android</v>
      </c>
      <c r="L763" s="13">
        <v>118381</v>
      </c>
      <c r="M763" s="13">
        <v>1828</v>
      </c>
      <c r="N763" s="13">
        <v>1758</v>
      </c>
      <c r="O763" s="18" t="s">
        <v>41</v>
      </c>
      <c r="P763" s="6">
        <v>39979.785127314812</v>
      </c>
      <c r="Q763" s="16" t="s">
        <v>862</v>
      </c>
      <c r="R763" s="17" t="s">
        <v>2989</v>
      </c>
      <c r="S763" s="11" t="s">
        <v>2990</v>
      </c>
      <c r="T763" s="12"/>
      <c r="U763" s="10" t="str">
        <f>HYPERLINK("https://pbs.twimg.com/profile_images/1059484389988597766/i0zWaUu9.jpg","View")</f>
        <v>View</v>
      </c>
    </row>
    <row r="764" spans="1:21" ht="30.6">
      <c r="A764" s="6">
        <v>43441.820474537039</v>
      </c>
      <c r="B764" s="7" t="str">
        <f>HYPERLINK("https://twitter.com/ahoradigital1","@ahoradigital1")</f>
        <v>@ahoradigital1</v>
      </c>
      <c r="C764" s="8" t="s">
        <v>2991</v>
      </c>
      <c r="D764" s="9" t="s">
        <v>1308</v>
      </c>
      <c r="E764" s="10" t="str">
        <f>HYPERLINK("https://twitter.com/ahoradigital1/status/1071112478656991232","1071112478656991232")</f>
        <v>1071112478656991232</v>
      </c>
      <c r="F764" s="11" t="s">
        <v>2992</v>
      </c>
      <c r="G764" s="11" t="s">
        <v>2993</v>
      </c>
      <c r="H764" s="12"/>
      <c r="I764" s="13">
        <v>0</v>
      </c>
      <c r="J764" s="13">
        <v>0</v>
      </c>
      <c r="K764" s="14" t="str">
        <f>HYPERLINK("https://ifttt.com","IFTTT")</f>
        <v>IFTTT</v>
      </c>
      <c r="L764" s="13">
        <v>696</v>
      </c>
      <c r="M764" s="13">
        <v>110</v>
      </c>
      <c r="N764" s="13">
        <v>25</v>
      </c>
      <c r="O764" s="15"/>
      <c r="P764" s="6">
        <v>41564.462824074071</v>
      </c>
      <c r="Q764" s="16" t="s">
        <v>2994</v>
      </c>
      <c r="R764" s="17" t="s">
        <v>2995</v>
      </c>
      <c r="S764" s="11" t="s">
        <v>2996</v>
      </c>
      <c r="T764" s="12"/>
      <c r="U764" s="10" t="str">
        <f>HYPERLINK("https://pbs.twimg.com/profile_images/915748068846383104/PFTf59o0.jpg","View")</f>
        <v>View</v>
      </c>
    </row>
    <row r="765" spans="1:21" ht="30.6">
      <c r="A765" s="6">
        <v>43441.819444444445</v>
      </c>
      <c r="B765" s="7" t="str">
        <f>HYPERLINK("https://twitter.com/RadioHuancavilk","@RadioHuancavilk")</f>
        <v>@RadioHuancavilk</v>
      </c>
      <c r="C765" s="8" t="s">
        <v>2091</v>
      </c>
      <c r="D765" s="9" t="s">
        <v>2092</v>
      </c>
      <c r="E765" s="10" t="str">
        <f>HYPERLINK("https://twitter.com/RadioHuancavilk/status/1071112103686217728","1071112103686217728")</f>
        <v>1071112103686217728</v>
      </c>
      <c r="F765" s="11" t="s">
        <v>2093</v>
      </c>
      <c r="G765" s="11" t="s">
        <v>2997</v>
      </c>
      <c r="H765" s="12"/>
      <c r="I765" s="13">
        <v>2</v>
      </c>
      <c r="J765" s="13">
        <v>0</v>
      </c>
      <c r="K765" s="14" t="str">
        <f>HYPERLINK("https://about.twitter.com/products/tweetdeck","TweetDeck")</f>
        <v>TweetDeck</v>
      </c>
      <c r="L765" s="13">
        <v>24544</v>
      </c>
      <c r="M765" s="13">
        <v>132</v>
      </c>
      <c r="N765" s="13">
        <v>195</v>
      </c>
      <c r="O765" s="15"/>
      <c r="P765" s="6">
        <v>40735.782557870371</v>
      </c>
      <c r="Q765" s="16" t="s">
        <v>2095</v>
      </c>
      <c r="R765" s="17" t="s">
        <v>2096</v>
      </c>
      <c r="S765" s="11" t="s">
        <v>2097</v>
      </c>
      <c r="T765" s="12"/>
      <c r="U765" s="10" t="str">
        <f>HYPERLINK("https://pbs.twimg.com/profile_images/1018978289006891008/08-mGGQV.jpg","View")</f>
        <v>View</v>
      </c>
    </row>
    <row r="766" spans="1:21" ht="61.2">
      <c r="A766" s="6">
        <v>43441.816365740742</v>
      </c>
      <c r="B766" s="7" t="str">
        <f>HYPERLINK("https://twitter.com/BOOMERANGG1","@BOOMERANGG1")</f>
        <v>@BOOMERANGG1</v>
      </c>
      <c r="C766" s="8" t="s">
        <v>2998</v>
      </c>
      <c r="D766" s="9" t="s">
        <v>2999</v>
      </c>
      <c r="E766" s="10" t="str">
        <f>HYPERLINK("https://twitter.com/BOOMERANGG1/status/1071110988374642689","1071110988374642689")</f>
        <v>1071110988374642689</v>
      </c>
      <c r="F766" s="12"/>
      <c r="G766" s="12"/>
      <c r="H766" s="12"/>
      <c r="I766" s="13">
        <v>1</v>
      </c>
      <c r="J766" s="13">
        <v>2</v>
      </c>
      <c r="K766" s="14" t="str">
        <f>HYPERLINK("http://twitter.com/download/android","Twitter for Android")</f>
        <v>Twitter for Android</v>
      </c>
      <c r="L766" s="13">
        <v>1724</v>
      </c>
      <c r="M766" s="13">
        <v>3578</v>
      </c>
      <c r="N766" s="13">
        <v>4</v>
      </c>
      <c r="O766" s="15"/>
      <c r="P766" s="6">
        <v>40966.004363425927</v>
      </c>
      <c r="Q766" s="16" t="s">
        <v>60</v>
      </c>
      <c r="R766" s="17" t="s">
        <v>3000</v>
      </c>
      <c r="S766" s="12"/>
      <c r="T766" s="12"/>
      <c r="U766" s="10" t="str">
        <f>HYPERLINK("https://pbs.twimg.com/profile_images/1856358263/BOOMERANGG1.JPG","View")</f>
        <v>View</v>
      </c>
    </row>
    <row r="767" spans="1:21" ht="30.6">
      <c r="A767" s="6">
        <v>43441.815752314811</v>
      </c>
      <c r="B767" s="7" t="str">
        <f>HYPERLINK("https://twitter.com/periodicovzlano","@periodicovzlano")</f>
        <v>@periodicovzlano</v>
      </c>
      <c r="C767" s="8" t="s">
        <v>869</v>
      </c>
      <c r="D767" s="9" t="s">
        <v>3001</v>
      </c>
      <c r="E767" s="10" t="str">
        <f>HYPERLINK("https://twitter.com/periodicovzlano/status/1071110765619363840","1071110765619363840")</f>
        <v>1071110765619363840</v>
      </c>
      <c r="F767" s="11" t="s">
        <v>2757</v>
      </c>
      <c r="G767" s="11" t="s">
        <v>3002</v>
      </c>
      <c r="H767" s="12"/>
      <c r="I767" s="13">
        <v>0</v>
      </c>
      <c r="J767" s="13">
        <v>0</v>
      </c>
      <c r="K767" s="14" t="str">
        <f>HYPERLINK("http://epmundo.com","Tuiteo TOP EP (1)")</f>
        <v>Tuiteo TOP EP (1)</v>
      </c>
      <c r="L767" s="13">
        <v>479694</v>
      </c>
      <c r="M767" s="13">
        <v>358804</v>
      </c>
      <c r="N767" s="13">
        <v>1295</v>
      </c>
      <c r="O767" s="15"/>
      <c r="P767" s="6">
        <v>40663.3512962963</v>
      </c>
      <c r="Q767" s="16" t="s">
        <v>871</v>
      </c>
      <c r="R767" s="17" t="s">
        <v>872</v>
      </c>
      <c r="S767" s="11" t="s">
        <v>873</v>
      </c>
      <c r="T767" s="12"/>
      <c r="U767" s="10" t="str">
        <f>HYPERLINK("https://pbs.twimg.com/profile_images/958328579250638849/MCz7Q8U6.jpg","View")</f>
        <v>View</v>
      </c>
    </row>
    <row r="768" spans="1:21" ht="20.399999999999999">
      <c r="A768" s="6">
        <v>43441.815358796295</v>
      </c>
      <c r="B768" s="7" t="str">
        <f>HYPERLINK("https://twitter.com/10alvarog","@10alvarog")</f>
        <v>@10alvarog</v>
      </c>
      <c r="C768" s="8" t="s">
        <v>3003</v>
      </c>
      <c r="D768" s="9" t="s">
        <v>3004</v>
      </c>
      <c r="E768" s="10" t="str">
        <f>HYPERLINK("https://twitter.com/10alvarog/status/1071110621863796736","1071110621863796736")</f>
        <v>1071110621863796736</v>
      </c>
      <c r="F768" s="12"/>
      <c r="G768" s="12"/>
      <c r="H768" s="12"/>
      <c r="I768" s="13">
        <v>10</v>
      </c>
      <c r="J768" s="13">
        <v>28</v>
      </c>
      <c r="K768" s="14" t="str">
        <f>HYPERLINK("http://twitter.com","Twitter Web Client")</f>
        <v>Twitter Web Client</v>
      </c>
      <c r="L768" s="13">
        <v>851</v>
      </c>
      <c r="M768" s="13">
        <v>359</v>
      </c>
      <c r="N768" s="13">
        <v>9</v>
      </c>
      <c r="O768" s="15"/>
      <c r="P768" s="6">
        <v>41871.441712962966</v>
      </c>
      <c r="Q768" s="16" t="s">
        <v>3005</v>
      </c>
      <c r="R768" s="17" t="s">
        <v>3006</v>
      </c>
      <c r="S768" s="12"/>
      <c r="T768" s="12"/>
      <c r="U768" s="10" t="str">
        <f>HYPERLINK("https://pbs.twimg.com/profile_images/1019382487917694977/V3bG3RfI.jpg","View")</f>
        <v>View</v>
      </c>
    </row>
    <row r="769" spans="1:21" ht="40.799999999999997">
      <c r="A769" s="6">
        <v>43441.814189814817</v>
      </c>
      <c r="B769" s="7" t="str">
        <f>HYPERLINK("https://twitter.com/alcalaino42","@alcalaino42")</f>
        <v>@alcalaino42</v>
      </c>
      <c r="C769" s="8" t="s">
        <v>3007</v>
      </c>
      <c r="D769" s="9" t="s">
        <v>3008</v>
      </c>
      <c r="E769" s="10" t="str">
        <f>HYPERLINK("https://twitter.com/alcalaino42/status/1071110200294293504","1071110200294293504")</f>
        <v>1071110200294293504</v>
      </c>
      <c r="F769" s="11" t="s">
        <v>3009</v>
      </c>
      <c r="G769" s="12"/>
      <c r="H769" s="12"/>
      <c r="I769" s="13">
        <v>0</v>
      </c>
      <c r="J769" s="13">
        <v>0</v>
      </c>
      <c r="K769" s="14" t="str">
        <f>HYPERLINK("http://www.facebook.com/twitter","Facebook")</f>
        <v>Facebook</v>
      </c>
      <c r="L769" s="13">
        <v>322</v>
      </c>
      <c r="M769" s="13">
        <v>346</v>
      </c>
      <c r="N769" s="13">
        <v>8</v>
      </c>
      <c r="O769" s="15"/>
      <c r="P769" s="6">
        <v>40794.541944444441</v>
      </c>
      <c r="Q769" s="16" t="s">
        <v>3010</v>
      </c>
      <c r="R769" s="17" t="s">
        <v>3011</v>
      </c>
      <c r="S769" s="12"/>
      <c r="T769" s="12"/>
      <c r="U769" s="10" t="str">
        <f>HYPERLINK("https://pbs.twimg.com/profile_images/1599465510/305.JPG","View")</f>
        <v>View</v>
      </c>
    </row>
    <row r="770" spans="1:21" ht="20.399999999999999">
      <c r="A770" s="6">
        <v>43441.813402777778</v>
      </c>
      <c r="B770" s="7" t="str">
        <f>HYPERLINK("https://twitter.com/EspanaActual","@EspanaActual")</f>
        <v>@EspanaActual</v>
      </c>
      <c r="C770" s="8" t="s">
        <v>399</v>
      </c>
      <c r="D770" s="9" t="s">
        <v>3012</v>
      </c>
      <c r="E770" s="10" t="str">
        <f>HYPERLINK("https://twitter.com/EspanaActual/status/1071109914695733249","1071109914695733249")</f>
        <v>1071109914695733249</v>
      </c>
      <c r="F770" s="11" t="s">
        <v>3013</v>
      </c>
      <c r="G770" s="12"/>
      <c r="H770" s="12"/>
      <c r="I770" s="13">
        <v>0</v>
      </c>
      <c r="J770" s="13">
        <v>0</v>
      </c>
      <c r="K770" s="14" t="str">
        <f>HYPERLINK("http://www.wonderland.fm/","wonderland.fm")</f>
        <v>wonderland.fm</v>
      </c>
      <c r="L770" s="13">
        <v>255</v>
      </c>
      <c r="M770" s="13">
        <v>0</v>
      </c>
      <c r="N770" s="13">
        <v>5</v>
      </c>
      <c r="O770" s="15"/>
      <c r="P770" s="6">
        <v>41357.845486111109</v>
      </c>
      <c r="Q770" s="16" t="s">
        <v>60</v>
      </c>
      <c r="R770" s="17" t="s">
        <v>402</v>
      </c>
      <c r="S770" s="12"/>
      <c r="T770" s="12"/>
      <c r="U770" s="10" t="str">
        <f>HYPERLINK("https://pbs.twimg.com/profile_images/745695516982378496/lAlJBkNT.jpg","View")</f>
        <v>View</v>
      </c>
    </row>
    <row r="771" spans="1:21" ht="51">
      <c r="A771" s="6">
        <v>43441.812627314815</v>
      </c>
      <c r="B771" s="7" t="str">
        <f>HYPERLINK("https://twitter.com/CrabZgz","@CrabZgz")</f>
        <v>@CrabZgz</v>
      </c>
      <c r="C771" s="8" t="s">
        <v>3014</v>
      </c>
      <c r="D771" s="9" t="s">
        <v>3015</v>
      </c>
      <c r="E771" s="10" t="str">
        <f>HYPERLINK("https://twitter.com/CrabZgz/status/1071109632679165953","1071109632679165953")</f>
        <v>1071109632679165953</v>
      </c>
      <c r="F771" s="11" t="s">
        <v>2331</v>
      </c>
      <c r="G771" s="12"/>
      <c r="H771" s="12"/>
      <c r="I771" s="13">
        <v>0</v>
      </c>
      <c r="J771" s="13">
        <v>1</v>
      </c>
      <c r="K771" s="14" t="str">
        <f>HYPERLINK("http://twitter.com/download/android","Twitter for Android")</f>
        <v>Twitter for Android</v>
      </c>
      <c r="L771" s="13">
        <v>263</v>
      </c>
      <c r="M771" s="13">
        <v>223</v>
      </c>
      <c r="N771" s="13">
        <v>8</v>
      </c>
      <c r="O771" s="15"/>
      <c r="P771" s="6">
        <v>40929.439780092594</v>
      </c>
      <c r="Q771" s="16" t="s">
        <v>2517</v>
      </c>
      <c r="R771" s="17" t="s">
        <v>3016</v>
      </c>
      <c r="S771" s="12"/>
      <c r="T771" s="12"/>
      <c r="U771" s="10" t="str">
        <f>HYPERLINK("https://pbs.twimg.com/profile_images/887475938740625410/euPrz8f9.jpg","View")</f>
        <v>View</v>
      </c>
    </row>
    <row r="772" spans="1:21" ht="30.6">
      <c r="A772" s="6">
        <v>43441.812442129631</v>
      </c>
      <c r="B772" s="7" t="str">
        <f>HYPERLINK("https://twitter.com/ECdeportes","@ECdeportes")</f>
        <v>@ECdeportes</v>
      </c>
      <c r="C772" s="8" t="s">
        <v>3017</v>
      </c>
      <c r="D772" s="9" t="s">
        <v>2731</v>
      </c>
      <c r="E772" s="10" t="str">
        <f>HYPERLINK("https://twitter.com/ECdeportes/status/1071109565746278400","1071109565746278400")</f>
        <v>1071109565746278400</v>
      </c>
      <c r="F772" s="11" t="s">
        <v>3018</v>
      </c>
      <c r="G772" s="12"/>
      <c r="H772" s="12"/>
      <c r="I772" s="13">
        <v>0</v>
      </c>
      <c r="J772" s="13">
        <v>0</v>
      </c>
      <c r="K772" s="14" t="str">
        <f>HYPERLINK("https://dlvrit.com/","dlvr.it")</f>
        <v>dlvr.it</v>
      </c>
      <c r="L772" s="13">
        <v>20481</v>
      </c>
      <c r="M772" s="13">
        <v>371</v>
      </c>
      <c r="N772" s="13">
        <v>550</v>
      </c>
      <c r="O772" s="15"/>
      <c r="P772" s="6">
        <v>39906.536793981482</v>
      </c>
      <c r="Q772" s="16" t="s">
        <v>3019</v>
      </c>
      <c r="R772" s="17" t="s">
        <v>3020</v>
      </c>
      <c r="S772" s="11" t="s">
        <v>3021</v>
      </c>
      <c r="T772" s="12"/>
      <c r="U772" s="10" t="str">
        <f>HYPERLINK("https://pbs.twimg.com/profile_images/831499793008586752/8VyUNz1b.jpg","View")</f>
        <v>View</v>
      </c>
    </row>
    <row r="773" spans="1:21" ht="40.799999999999997">
      <c r="A773" s="6">
        <v>43441.810393518521</v>
      </c>
      <c r="B773" s="7" t="str">
        <f>HYPERLINK("https://twitter.com/Joseamanlleu","@Joseamanlleu")</f>
        <v>@Joseamanlleu</v>
      </c>
      <c r="C773" s="8" t="s">
        <v>3022</v>
      </c>
      <c r="D773" s="9" t="s">
        <v>3023</v>
      </c>
      <c r="E773" s="10" t="str">
        <f>HYPERLINK("https://twitter.com/Joseamanlleu/status/1071108825883783168","1071108825883783168")</f>
        <v>1071108825883783168</v>
      </c>
      <c r="F773" s="11" t="s">
        <v>3024</v>
      </c>
      <c r="G773" s="12"/>
      <c r="H773" s="12"/>
      <c r="I773" s="13">
        <v>0</v>
      </c>
      <c r="J773" s="13">
        <v>0</v>
      </c>
      <c r="K773" s="14" t="str">
        <f>HYPERLINK("https://www.google.com/","Google")</f>
        <v>Google</v>
      </c>
      <c r="L773" s="13">
        <v>50</v>
      </c>
      <c r="M773" s="13">
        <v>215</v>
      </c>
      <c r="N773" s="13">
        <v>1</v>
      </c>
      <c r="O773" s="15"/>
      <c r="P773" s="6">
        <v>41613.013449074075</v>
      </c>
      <c r="Q773" s="16" t="s">
        <v>3025</v>
      </c>
      <c r="R773" s="17" t="s">
        <v>3026</v>
      </c>
      <c r="S773" s="11" t="s">
        <v>3027</v>
      </c>
      <c r="T773" s="12"/>
      <c r="U773" s="10" t="str">
        <f>HYPERLINK("https://pbs.twimg.com/profile_images/941448244823019520/eDX41P80.jpg","View")</f>
        <v>View</v>
      </c>
    </row>
    <row r="774" spans="1:21" ht="20.399999999999999">
      <c r="A774" s="6">
        <v>43441.810370370367</v>
      </c>
      <c r="B774" s="7" t="str">
        <f>HYPERLINK("https://twitter.com/CAUTEXA","@CAUTEXA")</f>
        <v>@CAUTEXA</v>
      </c>
      <c r="C774" s="8" t="s">
        <v>3028</v>
      </c>
      <c r="D774" s="9" t="s">
        <v>2241</v>
      </c>
      <c r="E774" s="10" t="str">
        <f>HYPERLINK("https://twitter.com/CAUTEXA/status/1071108813955182593","1071108813955182593")</f>
        <v>1071108813955182593</v>
      </c>
      <c r="F774" s="11" t="s">
        <v>2242</v>
      </c>
      <c r="G774" s="12"/>
      <c r="H774" s="12"/>
      <c r="I774" s="13">
        <v>0</v>
      </c>
      <c r="J774" s="13">
        <v>0</v>
      </c>
      <c r="K774" s="14" t="str">
        <f t="shared" ref="K774:K775" si="136">HYPERLINK("http://twitter.com","Twitter Web Client")</f>
        <v>Twitter Web Client</v>
      </c>
      <c r="L774" s="13">
        <v>103</v>
      </c>
      <c r="M774" s="13">
        <v>266</v>
      </c>
      <c r="N774" s="13">
        <v>1</v>
      </c>
      <c r="O774" s="15"/>
      <c r="P774" s="6">
        <v>40532.002060185187</v>
      </c>
      <c r="Q774" s="16" t="s">
        <v>1560</v>
      </c>
      <c r="R774" s="19"/>
      <c r="S774" s="12"/>
      <c r="T774" s="12"/>
      <c r="U774" s="10" t="str">
        <f>HYPERLINK("https://pbs.twimg.com/profile_images/1834253769/MGA.jpg","View")</f>
        <v>View</v>
      </c>
    </row>
    <row r="775" spans="1:21" ht="40.799999999999997">
      <c r="A775" s="6">
        <v>43441.810023148151</v>
      </c>
      <c r="B775" s="7" t="str">
        <f>HYPERLINK("https://twitter.com/EPcongreso","@EPcongreso")</f>
        <v>@EPcongreso</v>
      </c>
      <c r="C775" s="8" t="s">
        <v>3029</v>
      </c>
      <c r="D775" s="9" t="s">
        <v>3030</v>
      </c>
      <c r="E775" s="10" t="str">
        <f>HYPERLINK("https://twitter.com/EPcongreso/status/1071108689929666560","1071108689929666560")</f>
        <v>1071108689929666560</v>
      </c>
      <c r="F775" s="11" t="s">
        <v>3031</v>
      </c>
      <c r="G775" s="12"/>
      <c r="H775" s="12"/>
      <c r="I775" s="13">
        <v>0</v>
      </c>
      <c r="J775" s="13">
        <v>0</v>
      </c>
      <c r="K775" s="14" t="str">
        <f t="shared" si="136"/>
        <v>Twitter Web Client</v>
      </c>
      <c r="L775" s="13">
        <v>11316</v>
      </c>
      <c r="M775" s="13">
        <v>613</v>
      </c>
      <c r="N775" s="13">
        <v>400</v>
      </c>
      <c r="O775" s="15"/>
      <c r="P775" s="6">
        <v>40784.872511574074</v>
      </c>
      <c r="Q775" s="16" t="s">
        <v>200</v>
      </c>
      <c r="R775" s="17" t="s">
        <v>3032</v>
      </c>
      <c r="S775" s="11" t="s">
        <v>2066</v>
      </c>
      <c r="T775" s="12"/>
      <c r="U775" s="10" t="str">
        <f>HYPERLINK("https://pbs.twimg.com/profile_images/877100964884475904/m1W8CAUp.jpg","View")</f>
        <v>View</v>
      </c>
    </row>
    <row r="776" spans="1:21" ht="13.2">
      <c r="A776" s="6">
        <v>43441.80972222222</v>
      </c>
      <c r="B776" s="7" t="str">
        <f>HYPERLINK("https://twitter.com/Cubano57676132","@Cubano57676132")</f>
        <v>@Cubano57676132</v>
      </c>
      <c r="C776" s="8" t="s">
        <v>3033</v>
      </c>
      <c r="D776" s="9" t="s">
        <v>3034</v>
      </c>
      <c r="E776" s="10" t="str">
        <f>HYPERLINK("https://twitter.com/Cubano57676132/status/1071108581938864128","1071108581938864128")</f>
        <v>1071108581938864128</v>
      </c>
      <c r="F776" s="11" t="s">
        <v>1540</v>
      </c>
      <c r="G776" s="12"/>
      <c r="H776" s="12"/>
      <c r="I776" s="13">
        <v>1</v>
      </c>
      <c r="J776" s="13">
        <v>0</v>
      </c>
      <c r="K776" s="14" t="str">
        <f t="shared" ref="K776:K777" si="137">HYPERLINK("http://twitter.com/download/iphone","Twitter for iPhone")</f>
        <v>Twitter for iPhone</v>
      </c>
      <c r="L776" s="13">
        <v>38</v>
      </c>
      <c r="M776" s="13">
        <v>82</v>
      </c>
      <c r="N776" s="13">
        <v>0</v>
      </c>
      <c r="O776" s="15"/>
      <c r="P776" s="6">
        <v>43128.510648148149</v>
      </c>
      <c r="Q776" s="16" t="s">
        <v>3035</v>
      </c>
      <c r="R776" s="17" t="s">
        <v>3036</v>
      </c>
      <c r="S776" s="12"/>
      <c r="T776" s="12"/>
      <c r="U776" s="10" t="str">
        <f>HYPERLINK("https://pbs.twimg.com/profile_images/957603332218085377/SYhZg5y_.jpg","View")</f>
        <v>View</v>
      </c>
    </row>
    <row r="777" spans="1:21" ht="30.6">
      <c r="A777" s="6">
        <v>43441.809120370366</v>
      </c>
      <c r="B777" s="7" t="str">
        <f>HYPERLINK("https://twitter.com/SoydeDonBenito","@SoydeDonBenito")</f>
        <v>@SoydeDonBenito</v>
      </c>
      <c r="C777" s="8" t="s">
        <v>3037</v>
      </c>
      <c r="D777" s="9" t="s">
        <v>3038</v>
      </c>
      <c r="E777" s="10" t="str">
        <f>HYPERLINK("https://twitter.com/SoydeDonBenito/status/1071108362362908672","1071108362362908672")</f>
        <v>1071108362362908672</v>
      </c>
      <c r="F777" s="11" t="s">
        <v>432</v>
      </c>
      <c r="G777" s="12"/>
      <c r="H777" s="12"/>
      <c r="I777" s="13">
        <v>0</v>
      </c>
      <c r="J777" s="13">
        <v>0</v>
      </c>
      <c r="K777" s="14" t="str">
        <f t="shared" si="137"/>
        <v>Twitter for iPhone</v>
      </c>
      <c r="L777" s="13">
        <v>92</v>
      </c>
      <c r="M777" s="13">
        <v>151</v>
      </c>
      <c r="N777" s="13">
        <v>1</v>
      </c>
      <c r="O777" s="15"/>
      <c r="P777" s="6">
        <v>42098.449606481481</v>
      </c>
      <c r="Q777" s="12"/>
      <c r="R777" s="17" t="s">
        <v>3039</v>
      </c>
      <c r="S777" s="12"/>
      <c r="T777" s="12"/>
      <c r="U777" s="10" t="str">
        <f>HYPERLINK("https://pbs.twimg.com/profile_images/867288361656098817/vFrKgQDY.jpg","View")</f>
        <v>View</v>
      </c>
    </row>
    <row r="778" spans="1:21" ht="30.6">
      <c r="A778" s="6">
        <v>43441.808645833335</v>
      </c>
      <c r="B778" s="7" t="str">
        <f>HYPERLINK("https://twitter.com/PP_Villaverde","@PP_Villaverde")</f>
        <v>@PP_Villaverde</v>
      </c>
      <c r="C778" s="8" t="s">
        <v>3040</v>
      </c>
      <c r="D778" s="9" t="s">
        <v>3041</v>
      </c>
      <c r="E778" s="10" t="str">
        <f>HYPERLINK("https://twitter.com/PP_Villaverde/status/1071108188588646400","1071108188588646400")</f>
        <v>1071108188588646400</v>
      </c>
      <c r="F778" s="11" t="s">
        <v>3042</v>
      </c>
      <c r="G778" s="12"/>
      <c r="H778" s="12"/>
      <c r="I778" s="13">
        <v>3</v>
      </c>
      <c r="J778" s="13">
        <v>2</v>
      </c>
      <c r="K778" s="14" t="str">
        <f>HYPERLINK("http://twitter.com/#!/download/ipad","Twitter for iPad")</f>
        <v>Twitter for iPad</v>
      </c>
      <c r="L778" s="13">
        <v>1214</v>
      </c>
      <c r="M778" s="13">
        <v>1435</v>
      </c>
      <c r="N778" s="13">
        <v>36</v>
      </c>
      <c r="O778" s="15"/>
      <c r="P778" s="6">
        <v>40958.385254629626</v>
      </c>
      <c r="Q778" s="16" t="s">
        <v>3043</v>
      </c>
      <c r="R778" s="17" t="s">
        <v>3044</v>
      </c>
      <c r="S778" s="11" t="s">
        <v>3045</v>
      </c>
      <c r="T778" s="12"/>
      <c r="U778" s="10" t="str">
        <f>HYPERLINK("https://pbs.twimg.com/profile_images/1065008001763942400/itUYlcqA.jpg","View")</f>
        <v>View</v>
      </c>
    </row>
    <row r="779" spans="1:21" ht="20.399999999999999">
      <c r="A779" s="6">
        <v>43441.808171296296</v>
      </c>
      <c r="B779" s="7" t="str">
        <f>HYPERLINK("https://twitter.com/RosPraviana","@RosPraviana")</f>
        <v>@RosPraviana</v>
      </c>
      <c r="C779" s="8" t="s">
        <v>3046</v>
      </c>
      <c r="D779" s="9" t="s">
        <v>3047</v>
      </c>
      <c r="E779" s="10" t="str">
        <f>HYPERLINK("https://twitter.com/RosPraviana/status/1071108017159057409","1071108017159057409")</f>
        <v>1071108017159057409</v>
      </c>
      <c r="F779" s="12"/>
      <c r="G779" s="12"/>
      <c r="H779" s="12"/>
      <c r="I779" s="13">
        <v>0</v>
      </c>
      <c r="J779" s="13">
        <v>5</v>
      </c>
      <c r="K779" s="14" t="str">
        <f>HYPERLINK("http://twitter.com/download/iphone","Twitter for iPhone")</f>
        <v>Twitter for iPhone</v>
      </c>
      <c r="L779" s="13">
        <v>504</v>
      </c>
      <c r="M779" s="13">
        <v>480</v>
      </c>
      <c r="N779" s="13">
        <v>4</v>
      </c>
      <c r="O779" s="15"/>
      <c r="P779" s="6">
        <v>41101.655092592591</v>
      </c>
      <c r="Q779" s="12"/>
      <c r="R779" s="19"/>
      <c r="S779" s="12"/>
      <c r="T779" s="12"/>
      <c r="U779" s="10" t="str">
        <f>HYPERLINK("https://pbs.twimg.com/profile_images/1066749767592656906/_Bt5f8Uo.jpg","View")</f>
        <v>View</v>
      </c>
    </row>
    <row r="780" spans="1:21" ht="51">
      <c r="A780" s="6">
        <v>43441.807719907403</v>
      </c>
      <c r="B780" s="7" t="str">
        <f>HYPERLINK("https://twitter.com/PsyForJus","@PsyForJus")</f>
        <v>@PsyForJus</v>
      </c>
      <c r="C780" s="8" t="s">
        <v>3048</v>
      </c>
      <c r="D780" s="9" t="s">
        <v>3049</v>
      </c>
      <c r="E780" s="10" t="str">
        <f>HYPERLINK("https://twitter.com/PsyForJus/status/1071107853577060354","1071107853577060354")</f>
        <v>1071107853577060354</v>
      </c>
      <c r="F780" s="11" t="s">
        <v>3050</v>
      </c>
      <c r="G780" s="11" t="s">
        <v>3051</v>
      </c>
      <c r="H780" s="12"/>
      <c r="I780" s="13">
        <v>0</v>
      </c>
      <c r="J780" s="13">
        <v>14</v>
      </c>
      <c r="K780" s="14" t="str">
        <f t="shared" ref="K780:K783" si="138">HYPERLINK("http://twitter.com/download/android","Twitter for Android")</f>
        <v>Twitter for Android</v>
      </c>
      <c r="L780" s="13">
        <v>1935</v>
      </c>
      <c r="M780" s="13">
        <v>786</v>
      </c>
      <c r="N780" s="13">
        <v>20</v>
      </c>
      <c r="O780" s="15"/>
      <c r="P780" s="6">
        <v>42012.681539351848</v>
      </c>
      <c r="Q780" s="12"/>
      <c r="R780" s="17" t="s">
        <v>3052</v>
      </c>
      <c r="S780" s="12"/>
      <c r="T780" s="12"/>
      <c r="U780" s="10" t="str">
        <f>HYPERLINK("https://pbs.twimg.com/profile_images/1069366110561202178/8EzWc-ko.jpg","View")</f>
        <v>View</v>
      </c>
    </row>
    <row r="781" spans="1:21" ht="13.2">
      <c r="A781" s="6">
        <v>43441.80704861111</v>
      </c>
      <c r="B781" s="7" t="str">
        <f>HYPERLINK("https://twitter.com/hopedsy","@hopedsy")</f>
        <v>@hopedsy</v>
      </c>
      <c r="C781" s="8" t="s">
        <v>3053</v>
      </c>
      <c r="D781" s="9" t="s">
        <v>1175</v>
      </c>
      <c r="E781" s="10" t="str">
        <f>HYPERLINK("https://twitter.com/hopedsy/status/1071107611116912641","1071107611116912641")</f>
        <v>1071107611116912641</v>
      </c>
      <c r="F781" s="11" t="s">
        <v>1176</v>
      </c>
      <c r="G781" s="12"/>
      <c r="H781" s="12"/>
      <c r="I781" s="13">
        <v>0</v>
      </c>
      <c r="J781" s="13">
        <v>1</v>
      </c>
      <c r="K781" s="14" t="str">
        <f t="shared" si="138"/>
        <v>Twitter for Android</v>
      </c>
      <c r="L781" s="13">
        <v>407</v>
      </c>
      <c r="M781" s="13">
        <v>569</v>
      </c>
      <c r="N781" s="13">
        <v>15</v>
      </c>
      <c r="O781" s="15"/>
      <c r="P781" s="6">
        <v>42568.50172453704</v>
      </c>
      <c r="Q781" s="12"/>
      <c r="R781" s="17" t="s">
        <v>3054</v>
      </c>
      <c r="S781" s="12"/>
      <c r="T781" s="12"/>
      <c r="U781" s="10" t="str">
        <f>HYPERLINK("https://pbs.twimg.com/profile_images/814237291229147136/bJPBbvoq.jpg","View")</f>
        <v>View</v>
      </c>
    </row>
    <row r="782" spans="1:21" ht="30.6">
      <c r="A782" s="6">
        <v>43441.806493055556</v>
      </c>
      <c r="B782" s="7" t="str">
        <f>HYPERLINK("https://twitter.com/el__alcazar","@el__alcazar")</f>
        <v>@el__alcazar</v>
      </c>
      <c r="C782" s="8" t="s">
        <v>3055</v>
      </c>
      <c r="D782" s="9" t="s">
        <v>575</v>
      </c>
      <c r="E782" s="10" t="str">
        <f>HYPERLINK("https://twitter.com/el__alcazar/status/1071107409396027393","1071107409396027393")</f>
        <v>1071107409396027393</v>
      </c>
      <c r="F782" s="11" t="s">
        <v>576</v>
      </c>
      <c r="G782" s="12"/>
      <c r="H782" s="12"/>
      <c r="I782" s="13">
        <v>0</v>
      </c>
      <c r="J782" s="13">
        <v>0</v>
      </c>
      <c r="K782" s="14" t="str">
        <f t="shared" si="138"/>
        <v>Twitter for Android</v>
      </c>
      <c r="L782" s="13">
        <v>361</v>
      </c>
      <c r="M782" s="13">
        <v>449</v>
      </c>
      <c r="N782" s="13">
        <v>1</v>
      </c>
      <c r="O782" s="15"/>
      <c r="P782" s="6">
        <v>43252.76961805555</v>
      </c>
      <c r="Q782" s="16" t="s">
        <v>60</v>
      </c>
      <c r="R782" s="17" t="s">
        <v>3056</v>
      </c>
      <c r="S782" s="12"/>
      <c r="T782" s="12"/>
      <c r="U782" s="10" t="str">
        <f>HYPERLINK("https://pbs.twimg.com/profile_images/1002588542390939648/4xDCxZGb.jpg","View")</f>
        <v>View</v>
      </c>
    </row>
    <row r="783" spans="1:21" ht="20.399999999999999">
      <c r="A783" s="6">
        <v>43441.805509259255</v>
      </c>
      <c r="B783" s="7" t="str">
        <f>HYPERLINK("https://twitter.com/kataklock","@kataklock")</f>
        <v>@kataklock</v>
      </c>
      <c r="C783" s="8" t="s">
        <v>3057</v>
      </c>
      <c r="D783" s="9" t="s">
        <v>3058</v>
      </c>
      <c r="E783" s="10" t="str">
        <f>HYPERLINK("https://twitter.com/kataklock/status/1071107052657876993","1071107052657876993")</f>
        <v>1071107052657876993</v>
      </c>
      <c r="F783" s="11" t="s">
        <v>3059</v>
      </c>
      <c r="G783" s="12"/>
      <c r="H783" s="12"/>
      <c r="I783" s="13">
        <v>1</v>
      </c>
      <c r="J783" s="13">
        <v>0</v>
      </c>
      <c r="K783" s="14" t="str">
        <f t="shared" si="138"/>
        <v>Twitter for Android</v>
      </c>
      <c r="L783" s="13">
        <v>2117</v>
      </c>
      <c r="M783" s="13">
        <v>4239</v>
      </c>
      <c r="N783" s="13">
        <v>19</v>
      </c>
      <c r="O783" s="15"/>
      <c r="P783" s="6">
        <v>41913.688645833332</v>
      </c>
      <c r="Q783" s="16" t="s">
        <v>3060</v>
      </c>
      <c r="R783" s="17" t="s">
        <v>3061</v>
      </c>
      <c r="S783" s="12"/>
      <c r="T783" s="12"/>
      <c r="U783" s="10" t="str">
        <f>HYPERLINK("https://pbs.twimg.com/profile_images/1021857157267025921/ENB_fHDt.jpg","View")</f>
        <v>View</v>
      </c>
    </row>
    <row r="784" spans="1:21" ht="61.2">
      <c r="A784" s="6">
        <v>43441.803726851853</v>
      </c>
      <c r="B784" s="7" t="str">
        <f>HYPERLINK("https://twitter.com/VitalusJv","@VitalusJv")</f>
        <v>@VitalusJv</v>
      </c>
      <c r="C784" s="8" t="s">
        <v>3062</v>
      </c>
      <c r="D784" s="9" t="s">
        <v>3063</v>
      </c>
      <c r="E784" s="10" t="str">
        <f>HYPERLINK("https://twitter.com/VitalusJv/status/1071106409729851392","1071106409729851392")</f>
        <v>1071106409729851392</v>
      </c>
      <c r="F784" s="11" t="s">
        <v>3064</v>
      </c>
      <c r="G784" s="12"/>
      <c r="H784" s="12"/>
      <c r="I784" s="13">
        <v>0</v>
      </c>
      <c r="J784" s="13">
        <v>1</v>
      </c>
      <c r="K784" s="14" t="str">
        <f>HYPERLINK("http://tapbots.com/tweetbot","Tweetbot for iΟS")</f>
        <v>Tweetbot for iΟS</v>
      </c>
      <c r="L784" s="13">
        <v>171</v>
      </c>
      <c r="M784" s="13">
        <v>381</v>
      </c>
      <c r="N784" s="13">
        <v>17</v>
      </c>
      <c r="O784" s="15"/>
      <c r="P784" s="6">
        <v>40720.605671296296</v>
      </c>
      <c r="Q784" s="12"/>
      <c r="R784" s="19"/>
      <c r="S784" s="12"/>
      <c r="T784" s="12"/>
      <c r="U784" s="10" t="str">
        <f>HYPERLINK("https://pbs.twimg.com/profile_images/553333230330736640/QtwHNVVI.jpeg","View")</f>
        <v>View</v>
      </c>
    </row>
    <row r="785" spans="1:21" ht="30.6">
      <c r="A785" s="6">
        <v>43441.802812499998</v>
      </c>
      <c r="B785" s="7" t="str">
        <f>HYPERLINK("https://twitter.com/demadridabilbao","@demadridabilbao")</f>
        <v>@demadridabilbao</v>
      </c>
      <c r="C785" s="8" t="s">
        <v>3066</v>
      </c>
      <c r="D785" s="9" t="s">
        <v>2558</v>
      </c>
      <c r="E785" s="10" t="str">
        <f>HYPERLINK("https://twitter.com/demadridabilbao/status/1071106077515669504","1071106077515669504")</f>
        <v>1071106077515669504</v>
      </c>
      <c r="F785" s="11" t="s">
        <v>3070</v>
      </c>
      <c r="G785" s="12"/>
      <c r="H785" s="12"/>
      <c r="I785" s="13">
        <v>0</v>
      </c>
      <c r="J785" s="13">
        <v>0</v>
      </c>
      <c r="K785" s="14" t="str">
        <f>HYPERLINK("https://dlvrit.com/","dlvr.it")</f>
        <v>dlvr.it</v>
      </c>
      <c r="L785" s="13">
        <v>400</v>
      </c>
      <c r="M785" s="13">
        <v>152</v>
      </c>
      <c r="N785" s="13">
        <v>11</v>
      </c>
      <c r="O785" s="15"/>
      <c r="P785" s="6">
        <v>41352.81086805556</v>
      </c>
      <c r="Q785" s="16" t="s">
        <v>3071</v>
      </c>
      <c r="R785" s="17" t="s">
        <v>3072</v>
      </c>
      <c r="S785" s="11" t="s">
        <v>3073</v>
      </c>
      <c r="T785" s="12"/>
      <c r="U785" s="10" t="str">
        <f>HYPERLINK("https://pbs.twimg.com/profile_images/3401749687/691788f2f33962b0f36e37bc915b080e.jpeg","View")</f>
        <v>View</v>
      </c>
    </row>
    <row r="786" spans="1:21" ht="30.6">
      <c r="A786" s="6">
        <v>43441.800578703704</v>
      </c>
      <c r="B786" s="7" t="str">
        <f>HYPERLINK("https://twitter.com/Luichi16038494","@Luichi16038494")</f>
        <v>@Luichi16038494</v>
      </c>
      <c r="C786" s="8" t="s">
        <v>3074</v>
      </c>
      <c r="D786" s="9" t="s">
        <v>3075</v>
      </c>
      <c r="E786" s="10" t="str">
        <f>HYPERLINK("https://twitter.com/Luichi16038494/status/1071105268912701441","1071105268912701441")</f>
        <v>1071105268912701441</v>
      </c>
      <c r="F786" s="11" t="s">
        <v>114</v>
      </c>
      <c r="G786" s="12"/>
      <c r="H786" s="12"/>
      <c r="I786" s="13">
        <v>0</v>
      </c>
      <c r="J786" s="13">
        <v>0</v>
      </c>
      <c r="K786" s="14" t="str">
        <f>HYPERLINK("http://twitter.com","Twitter Web Client")</f>
        <v>Twitter Web Client</v>
      </c>
      <c r="L786" s="13">
        <v>0</v>
      </c>
      <c r="M786" s="13">
        <v>9</v>
      </c>
      <c r="N786" s="13">
        <v>0</v>
      </c>
      <c r="O786" s="15"/>
      <c r="P786" s="6">
        <v>43005.000104166669</v>
      </c>
      <c r="Q786" s="12"/>
      <c r="R786" s="19"/>
      <c r="S786" s="12"/>
      <c r="T786" s="12"/>
      <c r="U786" s="18" t="s">
        <v>67</v>
      </c>
    </row>
    <row r="787" spans="1:21" ht="51">
      <c r="A787" s="6">
        <v>43441.799386574072</v>
      </c>
      <c r="B787" s="7" t="str">
        <f>HYPERLINK("https://twitter.com/juristasxvictim","@juristasxvictim")</f>
        <v>@juristasxvictim</v>
      </c>
      <c r="C787" s="8" t="s">
        <v>3076</v>
      </c>
      <c r="D787" s="9" t="s">
        <v>3077</v>
      </c>
      <c r="E787" s="10" t="str">
        <f>HYPERLINK("https://twitter.com/juristasxvictim/status/1071104833657204737","1071104833657204737")</f>
        <v>1071104833657204737</v>
      </c>
      <c r="F787" s="11" t="s">
        <v>3078</v>
      </c>
      <c r="G787" s="12"/>
      <c r="H787" s="12"/>
      <c r="I787" s="13">
        <v>3</v>
      </c>
      <c r="J787" s="13">
        <v>2</v>
      </c>
      <c r="K787" s="14" t="str">
        <f t="shared" ref="K787:K788" si="139">HYPERLINK("http://twitter.com/download/android","Twitter for Android")</f>
        <v>Twitter for Android</v>
      </c>
      <c r="L787" s="13">
        <v>408</v>
      </c>
      <c r="M787" s="13">
        <v>407</v>
      </c>
      <c r="N787" s="13">
        <v>4</v>
      </c>
      <c r="O787" s="15"/>
      <c r="P787" s="6">
        <v>40911.490208333329</v>
      </c>
      <c r="Q787" s="16" t="s">
        <v>3079</v>
      </c>
      <c r="R787" s="17" t="s">
        <v>3080</v>
      </c>
      <c r="S787" s="12"/>
      <c r="T787" s="12"/>
      <c r="U787" s="10" t="str">
        <f>HYPERLINK("https://pbs.twimg.com/profile_images/1757196868/405860_106886099432223_100003324999639_42793_532602747_n.jpg","View")</f>
        <v>View</v>
      </c>
    </row>
    <row r="788" spans="1:21" ht="40.799999999999997">
      <c r="A788" s="6">
        <v>43441.799340277779</v>
      </c>
      <c r="B788" s="7" t="str">
        <f>HYPERLINK("https://twitter.com/radiojuancjh","@radiojuancjh")</f>
        <v>@radiojuancjh</v>
      </c>
      <c r="C788" s="8" t="s">
        <v>3081</v>
      </c>
      <c r="D788" s="9" t="s">
        <v>3082</v>
      </c>
      <c r="E788" s="10" t="str">
        <f>HYPERLINK("https://twitter.com/radiojuancjh/status/1071104816426954754","1071104816426954754")</f>
        <v>1071104816426954754</v>
      </c>
      <c r="F788" s="12"/>
      <c r="G788" s="12"/>
      <c r="H788" s="12"/>
      <c r="I788" s="13">
        <v>8</v>
      </c>
      <c r="J788" s="13">
        <v>25</v>
      </c>
      <c r="K788" s="14" t="str">
        <f t="shared" si="139"/>
        <v>Twitter for Android</v>
      </c>
      <c r="L788" s="13">
        <v>4177</v>
      </c>
      <c r="M788" s="13">
        <v>426</v>
      </c>
      <c r="N788" s="13">
        <v>24</v>
      </c>
      <c r="O788" s="15"/>
      <c r="P788" s="6">
        <v>41338.562361111108</v>
      </c>
      <c r="Q788" s="16" t="s">
        <v>2045</v>
      </c>
      <c r="R788" s="17" t="s">
        <v>3083</v>
      </c>
      <c r="S788" s="11" t="s">
        <v>3084</v>
      </c>
      <c r="T788" s="12"/>
      <c r="U788" s="10" t="str">
        <f>HYPERLINK("https://pbs.twimg.com/profile_images/984185557814251521/PQlT41g6.jpg","View")</f>
        <v>View</v>
      </c>
    </row>
    <row r="789" spans="1:21" ht="30.6">
      <c r="A789" s="6">
        <v>43441.798912037033</v>
      </c>
      <c r="B789" s="7" t="str">
        <f>HYPERLINK("https://twitter.com/NoPotemosNo","@NoPotemosNo")</f>
        <v>@NoPotemosNo</v>
      </c>
      <c r="C789" s="8" t="s">
        <v>3085</v>
      </c>
      <c r="D789" s="9" t="s">
        <v>3086</v>
      </c>
      <c r="E789" s="10" t="str">
        <f>HYPERLINK("https://twitter.com/NoPotemosNo/status/1071104664823848960","1071104664823848960")</f>
        <v>1071104664823848960</v>
      </c>
      <c r="F789" s="11" t="s">
        <v>1176</v>
      </c>
      <c r="G789" s="12"/>
      <c r="H789" s="12"/>
      <c r="I789" s="13">
        <v>0</v>
      </c>
      <c r="J789" s="13">
        <v>0</v>
      </c>
      <c r="K789" s="14" t="str">
        <f>HYPERLINK("http://twitter.com","Twitter Web Client")</f>
        <v>Twitter Web Client</v>
      </c>
      <c r="L789" s="13">
        <v>148</v>
      </c>
      <c r="M789" s="13">
        <v>12</v>
      </c>
      <c r="N789" s="13">
        <v>3</v>
      </c>
      <c r="O789" s="15"/>
      <c r="P789" s="6">
        <v>42853.515023148153</v>
      </c>
      <c r="Q789" s="12"/>
      <c r="R789" s="17" t="s">
        <v>3087</v>
      </c>
      <c r="S789" s="12"/>
      <c r="T789" s="12"/>
      <c r="U789" s="10" t="str">
        <f>HYPERLINK("https://pbs.twimg.com/profile_images/857908903694262272/tXMyaWAJ.jpg","View")</f>
        <v>View</v>
      </c>
    </row>
    <row r="790" spans="1:21" ht="20.399999999999999">
      <c r="A790" s="6">
        <v>43441.797939814816</v>
      </c>
      <c r="B790" s="7" t="str">
        <f>HYPERLINK("https://twitter.com/Consol1939","@Consol1939")</f>
        <v>@Consol1939</v>
      </c>
      <c r="C790" s="8" t="s">
        <v>3088</v>
      </c>
      <c r="D790" s="9" t="s">
        <v>3089</v>
      </c>
      <c r="E790" s="10" t="str">
        <f>HYPERLINK("https://twitter.com/Consol1939/status/1071104310988038146","1071104310988038146")</f>
        <v>1071104310988038146</v>
      </c>
      <c r="F790" s="11" t="s">
        <v>1376</v>
      </c>
      <c r="G790" s="12"/>
      <c r="H790" s="12"/>
      <c r="I790" s="13">
        <v>0</v>
      </c>
      <c r="J790" s="13">
        <v>0</v>
      </c>
      <c r="K790" s="14" t="str">
        <f t="shared" ref="K790:K791" si="140">HYPERLINK("http://twitter.com/download/android","Twitter for Android")</f>
        <v>Twitter for Android</v>
      </c>
      <c r="L790" s="13">
        <v>1643</v>
      </c>
      <c r="M790" s="13">
        <v>2485</v>
      </c>
      <c r="N790" s="13">
        <v>26</v>
      </c>
      <c r="O790" s="15"/>
      <c r="P790" s="6">
        <v>40420.709791666668</v>
      </c>
      <c r="Q790" s="12"/>
      <c r="R790" s="17" t="s">
        <v>3090</v>
      </c>
      <c r="S790" s="12"/>
      <c r="T790" s="12"/>
      <c r="U790" s="10" t="str">
        <f>HYPERLINK("https://pbs.twimg.com/profile_images/788461826619080706/XtzDmbGZ.jpg","View")</f>
        <v>View</v>
      </c>
    </row>
    <row r="791" spans="1:21" ht="40.799999999999997">
      <c r="A791" s="6">
        <v>43441.795613425929</v>
      </c>
      <c r="B791" s="7" t="str">
        <f>HYPERLINK("https://twitter.com/FausAlberto","@FausAlberto")</f>
        <v>@FausAlberto</v>
      </c>
      <c r="C791" s="8" t="s">
        <v>3091</v>
      </c>
      <c r="D791" s="9" t="s">
        <v>3092</v>
      </c>
      <c r="E791" s="10" t="str">
        <f>HYPERLINK("https://twitter.com/FausAlberto/status/1071103465718468608","1071103465718468608")</f>
        <v>1071103465718468608</v>
      </c>
      <c r="F791" s="12"/>
      <c r="G791" s="11" t="s">
        <v>3093</v>
      </c>
      <c r="H791" s="12"/>
      <c r="I791" s="13">
        <v>10</v>
      </c>
      <c r="J791" s="13">
        <v>17</v>
      </c>
      <c r="K791" s="14" t="str">
        <f t="shared" si="140"/>
        <v>Twitter for Android</v>
      </c>
      <c r="L791" s="13">
        <v>753</v>
      </c>
      <c r="M791" s="13">
        <v>558</v>
      </c>
      <c r="N791" s="13">
        <v>3</v>
      </c>
      <c r="O791" s="15"/>
      <c r="P791" s="6">
        <v>43268.415000000001</v>
      </c>
      <c r="Q791" s="12"/>
      <c r="R791" s="17" t="s">
        <v>3094</v>
      </c>
      <c r="S791" s="12"/>
      <c r="T791" s="12"/>
      <c r="U791" s="10" t="str">
        <f>HYPERLINK("https://pbs.twimg.com/profile_images/1015099557162684416/D-iIiIz4.jpg","View")</f>
        <v>View</v>
      </c>
    </row>
    <row r="792" spans="1:21" ht="20.399999999999999">
      <c r="A792" s="6">
        <v>43441.795416666668</v>
      </c>
      <c r="B792" s="7" t="str">
        <f>HYPERLINK("https://twitter.com/lygofukisoby","@lygofukisoby")</f>
        <v>@lygofukisoby</v>
      </c>
      <c r="C792" s="8" t="s">
        <v>3095</v>
      </c>
      <c r="D792" s="9" t="s">
        <v>2558</v>
      </c>
      <c r="E792" s="10" t="str">
        <f>HYPERLINK("https://twitter.com/lygofukisoby/status/1071103395849756673","1071103395849756673")</f>
        <v>1071103395849756673</v>
      </c>
      <c r="F792" s="12"/>
      <c r="G792" s="11" t="s">
        <v>3096</v>
      </c>
      <c r="H792" s="12"/>
      <c r="I792" s="13">
        <v>0</v>
      </c>
      <c r="J792" s="13">
        <v>0</v>
      </c>
      <c r="K792" s="14" t="str">
        <f>HYPERLINK("https://ifttt.com","IFTTT")</f>
        <v>IFTTT</v>
      </c>
      <c r="L792" s="13">
        <v>52</v>
      </c>
      <c r="M792" s="13">
        <v>79</v>
      </c>
      <c r="N792" s="13">
        <v>3</v>
      </c>
      <c r="O792" s="15"/>
      <c r="P792" s="6">
        <v>41706.167800925927</v>
      </c>
      <c r="Q792" s="16" t="s">
        <v>3097</v>
      </c>
      <c r="R792" s="17" t="s">
        <v>3098</v>
      </c>
      <c r="S792" s="12"/>
      <c r="T792" s="12"/>
      <c r="U792" s="10" t="str">
        <f>HYPERLINK("https://pbs.twimg.com/profile_images/456020719474733056/_aI4ObiR.jpeg","View")</f>
        <v>View</v>
      </c>
    </row>
    <row r="793" spans="1:21" ht="40.799999999999997">
      <c r="A793" s="6">
        <v>43441.794953703706</v>
      </c>
      <c r="B793" s="7" t="str">
        <f>HYPERLINK("https://twitter.com/manelok","@manelok")</f>
        <v>@manelok</v>
      </c>
      <c r="C793" s="8" t="s">
        <v>3099</v>
      </c>
      <c r="D793" s="9" t="s">
        <v>3100</v>
      </c>
      <c r="E793" s="10" t="str">
        <f>HYPERLINK("https://twitter.com/manelok/status/1071103228778110978","1071103228778110978")</f>
        <v>1071103228778110978</v>
      </c>
      <c r="F793" s="16" t="s">
        <v>3101</v>
      </c>
      <c r="G793" s="12"/>
      <c r="H793" s="12"/>
      <c r="I793" s="13">
        <v>0</v>
      </c>
      <c r="J793" s="13">
        <v>1</v>
      </c>
      <c r="K793" s="14" t="str">
        <f>HYPERLINK("http://twitter.com/download/iphone","Twitter for iPhone")</f>
        <v>Twitter for iPhone</v>
      </c>
      <c r="L793" s="13">
        <v>1394</v>
      </c>
      <c r="M793" s="13">
        <v>1014</v>
      </c>
      <c r="N793" s="13">
        <v>65</v>
      </c>
      <c r="O793" s="15"/>
      <c r="P793" s="6">
        <v>40041.116967592592</v>
      </c>
      <c r="Q793" s="16" t="s">
        <v>3102</v>
      </c>
      <c r="R793" s="17" t="s">
        <v>3103</v>
      </c>
      <c r="S793" s="11" t="s">
        <v>3104</v>
      </c>
      <c r="T793" s="12"/>
      <c r="U793" s="10" t="str">
        <f>HYPERLINK("https://pbs.twimg.com/profile_images/445152173366992897/6hWpUBfQ.jpeg","View")</f>
        <v>View</v>
      </c>
    </row>
    <row r="794" spans="1:21" ht="40.799999999999997">
      <c r="A794" s="6">
        <v>43441.792604166665</v>
      </c>
      <c r="B794" s="7" t="str">
        <f>HYPERLINK("https://twitter.com/JaimeBN1987","@JaimeBN1987")</f>
        <v>@JaimeBN1987</v>
      </c>
      <c r="C794" s="8" t="s">
        <v>3105</v>
      </c>
      <c r="D794" s="9" t="s">
        <v>3106</v>
      </c>
      <c r="E794" s="10" t="str">
        <f>HYPERLINK("https://twitter.com/JaimeBN1987/status/1071102376457703425","1071102376457703425")</f>
        <v>1071102376457703425</v>
      </c>
      <c r="F794" s="16" t="s">
        <v>3107</v>
      </c>
      <c r="G794" s="11" t="s">
        <v>3108</v>
      </c>
      <c r="H794" s="12"/>
      <c r="I794" s="13">
        <v>2</v>
      </c>
      <c r="J794" s="13">
        <v>6</v>
      </c>
      <c r="K794" s="14" t="str">
        <f>HYPERLINK("http://twitter.com","Twitter Web Client")</f>
        <v>Twitter Web Client</v>
      </c>
      <c r="L794" s="13">
        <v>9966</v>
      </c>
      <c r="M794" s="13">
        <v>3322</v>
      </c>
      <c r="N794" s="13">
        <v>239</v>
      </c>
      <c r="O794" s="15"/>
      <c r="P794" s="6">
        <v>40380.61891203704</v>
      </c>
      <c r="Q794" s="16" t="s">
        <v>3109</v>
      </c>
      <c r="R794" s="17" t="s">
        <v>3110</v>
      </c>
      <c r="S794" s="11" t="s">
        <v>3111</v>
      </c>
      <c r="T794" s="12"/>
      <c r="U794" s="10" t="str">
        <f>HYPERLINK("https://pbs.twimg.com/profile_images/1066736613185728512/02PBFHXK.jpg","View")</f>
        <v>View</v>
      </c>
    </row>
    <row r="795" spans="1:21" ht="40.799999999999997">
      <c r="A795" s="6">
        <v>43441.791712962964</v>
      </c>
      <c r="B795" s="7" t="str">
        <f>HYPERLINK("https://twitter.com/jatirado","@jatirado")</f>
        <v>@jatirado</v>
      </c>
      <c r="C795" s="8" t="s">
        <v>196</v>
      </c>
      <c r="D795" s="9" t="s">
        <v>2558</v>
      </c>
      <c r="E795" s="10" t="str">
        <f>HYPERLINK("https://twitter.com/jatirado/status/1071102055891136512","1071102055891136512")</f>
        <v>1071102055891136512</v>
      </c>
      <c r="F795" s="11" t="s">
        <v>3112</v>
      </c>
      <c r="G795" s="11" t="s">
        <v>3113</v>
      </c>
      <c r="H795" s="12"/>
      <c r="I795" s="13">
        <v>4</v>
      </c>
      <c r="J795" s="13">
        <v>1</v>
      </c>
      <c r="K795" s="14" t="str">
        <f>HYPERLINK("https://dlvrit.com/","dlvr.it")</f>
        <v>dlvr.it</v>
      </c>
      <c r="L795" s="13">
        <v>81545</v>
      </c>
      <c r="M795" s="13">
        <v>49760</v>
      </c>
      <c r="N795" s="13">
        <v>1030</v>
      </c>
      <c r="O795" s="15"/>
      <c r="P795" s="6">
        <v>40353.552581018521</v>
      </c>
      <c r="Q795" s="16" t="s">
        <v>200</v>
      </c>
      <c r="R795" s="17" t="s">
        <v>201</v>
      </c>
      <c r="S795" s="11" t="s">
        <v>202</v>
      </c>
      <c r="T795" s="12"/>
      <c r="U795" s="10" t="str">
        <f>HYPERLINK("https://pbs.twimg.com/profile_images/485680559742791680/dg68o8vH.jpeg","View")</f>
        <v>View</v>
      </c>
    </row>
    <row r="796" spans="1:21" ht="51">
      <c r="A796" s="6">
        <v>43441.790312500001</v>
      </c>
      <c r="B796" s="7" t="str">
        <f>HYPERLINK("https://twitter.com/Mon_27","@Mon_27")</f>
        <v>@Mon_27</v>
      </c>
      <c r="C796" s="8" t="s">
        <v>3114</v>
      </c>
      <c r="D796" s="9" t="s">
        <v>3115</v>
      </c>
      <c r="E796" s="10" t="str">
        <f>HYPERLINK("https://twitter.com/Mon_27/status/1071101548191801345","1071101548191801345")</f>
        <v>1071101548191801345</v>
      </c>
      <c r="F796" s="11" t="s">
        <v>1376</v>
      </c>
      <c r="G796" s="12"/>
      <c r="H796" s="12"/>
      <c r="I796" s="13">
        <v>0</v>
      </c>
      <c r="J796" s="13">
        <v>0</v>
      </c>
      <c r="K796" s="14" t="str">
        <f>HYPERLINK("http://twitter.com/download/android","Twitter for Android")</f>
        <v>Twitter for Android</v>
      </c>
      <c r="L796" s="13">
        <v>565</v>
      </c>
      <c r="M796" s="13">
        <v>2465</v>
      </c>
      <c r="N796" s="13">
        <v>33</v>
      </c>
      <c r="O796" s="15"/>
      <c r="P796" s="6">
        <v>40206.996562500004</v>
      </c>
      <c r="Q796" s="12"/>
      <c r="R796" s="17" t="s">
        <v>3116</v>
      </c>
      <c r="S796" s="12"/>
      <c r="T796" s="12"/>
      <c r="U796" s="10" t="str">
        <f>HYPERLINK("https://pbs.twimg.com/profile_images/1049336650487287808/FLJg_oOc.jpg","View")</f>
        <v>View</v>
      </c>
    </row>
    <row r="797" spans="1:21" ht="30.6">
      <c r="A797" s="6">
        <v>43441.789108796293</v>
      </c>
      <c r="B797" s="7" t="str">
        <f>HYPERLINK("https://twitter.com/pressdigital","@pressdigital")</f>
        <v>@pressdigital</v>
      </c>
      <c r="C797" s="8" t="s">
        <v>1446</v>
      </c>
      <c r="D797" s="9" t="s">
        <v>2558</v>
      </c>
      <c r="E797" s="10" t="str">
        <f>HYPERLINK("https://twitter.com/pressdigital/status/1071101110277029891","1071101110277029891")</f>
        <v>1071101110277029891</v>
      </c>
      <c r="F797" s="11" t="s">
        <v>3117</v>
      </c>
      <c r="G797" s="12"/>
      <c r="H797" s="12"/>
      <c r="I797" s="13">
        <v>0</v>
      </c>
      <c r="J797" s="13">
        <v>0</v>
      </c>
      <c r="K797" s="14" t="str">
        <f>HYPERLINK("https://ifttt.com","IFTTT")</f>
        <v>IFTTT</v>
      </c>
      <c r="L797" s="13">
        <v>1212</v>
      </c>
      <c r="M797" s="13">
        <v>1127</v>
      </c>
      <c r="N797" s="13">
        <v>73</v>
      </c>
      <c r="O797" s="15"/>
      <c r="P797" s="6">
        <v>40142.836041666669</v>
      </c>
      <c r="Q797" s="16" t="s">
        <v>60</v>
      </c>
      <c r="R797" s="17" t="s">
        <v>1448</v>
      </c>
      <c r="S797" s="11" t="s">
        <v>1449</v>
      </c>
      <c r="T797" s="12"/>
      <c r="U797" s="10" t="str">
        <f>HYPERLINK("https://pbs.twimg.com/profile_images/686495616231444480/68bUHQ6J.jpg","View")</f>
        <v>View</v>
      </c>
    </row>
    <row r="798" spans="1:21" ht="20.399999999999999">
      <c r="A798" s="6">
        <v>43441.789004629631</v>
      </c>
      <c r="B798" s="7" t="str">
        <f>HYPERLINK("https://twitter.com/naxoxan","@naxoxan")</f>
        <v>@naxoxan</v>
      </c>
      <c r="C798" s="8" t="s">
        <v>3118</v>
      </c>
      <c r="D798" s="9" t="s">
        <v>3119</v>
      </c>
      <c r="E798" s="10" t="str">
        <f>HYPERLINK("https://twitter.com/naxoxan/status/1071101072545144833","1071101072545144833")</f>
        <v>1071101072545144833</v>
      </c>
      <c r="F798" s="11" t="s">
        <v>3120</v>
      </c>
      <c r="G798" s="12"/>
      <c r="H798" s="12"/>
      <c r="I798" s="13">
        <v>1</v>
      </c>
      <c r="J798" s="13">
        <v>0</v>
      </c>
      <c r="K798" s="14" t="str">
        <f>HYPERLINK("https://paper.li","Paper.li")</f>
        <v>Paper.li</v>
      </c>
      <c r="L798" s="13">
        <v>6940</v>
      </c>
      <c r="M798" s="13">
        <v>6911</v>
      </c>
      <c r="N798" s="13">
        <v>39</v>
      </c>
      <c r="O798" s="15"/>
      <c r="P798" s="6">
        <v>40198.13444444444</v>
      </c>
      <c r="Q798" s="16" t="s">
        <v>3121</v>
      </c>
      <c r="R798" s="17" t="s">
        <v>3122</v>
      </c>
      <c r="S798" s="12"/>
      <c r="T798" s="12"/>
      <c r="U798" s="10" t="str">
        <f>HYPERLINK("https://pbs.twimg.com/profile_images/1030563606700728322/Uj03HrqO.jpg","View")</f>
        <v>View</v>
      </c>
    </row>
    <row r="799" spans="1:21" ht="40.799999999999997">
      <c r="A799" s="6">
        <v>43441.788263888884</v>
      </c>
      <c r="B799" s="7" t="str">
        <f>HYPERLINK("https://twitter.com/daniro_asensio","@daniro_asensio")</f>
        <v>@daniro_asensio</v>
      </c>
      <c r="C799" s="8" t="s">
        <v>3123</v>
      </c>
      <c r="D799" s="9" t="s">
        <v>3124</v>
      </c>
      <c r="E799" s="10" t="str">
        <f>HYPERLINK("https://twitter.com/daniro_asensio/status/1071100803442712576","1071100803442712576")</f>
        <v>1071100803442712576</v>
      </c>
      <c r="F799" s="11" t="s">
        <v>3125</v>
      </c>
      <c r="G799" s="12"/>
      <c r="H799" s="12"/>
      <c r="I799" s="13">
        <v>0</v>
      </c>
      <c r="J799" s="13">
        <v>1</v>
      </c>
      <c r="K799" s="14" t="str">
        <f>HYPERLINK("http://twitter.com/download/android","Twitter for Android")</f>
        <v>Twitter for Android</v>
      </c>
      <c r="L799" s="13">
        <v>1286</v>
      </c>
      <c r="M799" s="13">
        <v>531</v>
      </c>
      <c r="N799" s="13">
        <v>26</v>
      </c>
      <c r="O799" s="15"/>
      <c r="P799" s="6">
        <v>40902.037685185183</v>
      </c>
      <c r="Q799" s="12"/>
      <c r="R799" s="17" t="s">
        <v>3126</v>
      </c>
      <c r="S799" s="11" t="s">
        <v>3127</v>
      </c>
      <c r="T799" s="12"/>
      <c r="U799" s="10" t="str">
        <f>HYPERLINK("https://pbs.twimg.com/profile_images/1013521506452766720/7JWmhl47.jpg","View")</f>
        <v>View</v>
      </c>
    </row>
    <row r="800" spans="1:21" ht="20.399999999999999">
      <c r="A800" s="6">
        <v>43441.787858796291</v>
      </c>
      <c r="B800" s="7" t="str">
        <f>HYPERLINK("https://twitter.com/NoticieroUniv","@NoticieroUniv")</f>
        <v>@NoticieroUniv</v>
      </c>
      <c r="C800" s="8" t="s">
        <v>3128</v>
      </c>
      <c r="D800" s="9" t="s">
        <v>3129</v>
      </c>
      <c r="E800" s="10" t="str">
        <f>HYPERLINK("https://twitter.com/NoticieroUniv/status/1071100659234209798","1071100659234209798")</f>
        <v>1071100659234209798</v>
      </c>
      <c r="F800" s="11" t="s">
        <v>3130</v>
      </c>
      <c r="G800" s="12"/>
      <c r="H800" s="12"/>
      <c r="I800" s="13">
        <v>0</v>
      </c>
      <c r="J800" s="13">
        <v>0</v>
      </c>
      <c r="K800" s="14" t="str">
        <f>HYPERLINK("https://noticierouniversal.com/","NoticieroUniversal")</f>
        <v>NoticieroUniversal</v>
      </c>
      <c r="L800" s="13">
        <v>836</v>
      </c>
      <c r="M800" s="13">
        <v>36</v>
      </c>
      <c r="N800" s="13">
        <v>21</v>
      </c>
      <c r="O800" s="15"/>
      <c r="P800" s="6">
        <v>42402.547939814816</v>
      </c>
      <c r="Q800" s="16" t="s">
        <v>87</v>
      </c>
      <c r="R800" s="17" t="s">
        <v>3131</v>
      </c>
      <c r="S800" s="11" t="s">
        <v>3132</v>
      </c>
      <c r="T800" s="12"/>
      <c r="U800" s="10" t="str">
        <f>HYPERLINK("https://pbs.twimg.com/profile_images/719648419925594113/OnR0XNMn.jpg","View")</f>
        <v>View</v>
      </c>
    </row>
    <row r="801" spans="1:21" ht="30.6">
      <c r="A801" s="6">
        <v>43441.787291666667</v>
      </c>
      <c r="B801" s="7" t="str">
        <f>HYPERLINK("https://twitter.com/elobrerodigital","@elobrerodigital")</f>
        <v>@elobrerodigital</v>
      </c>
      <c r="C801" s="8" t="s">
        <v>3133</v>
      </c>
      <c r="D801" s="9" t="s">
        <v>3134</v>
      </c>
      <c r="E801" s="10" t="str">
        <f>HYPERLINK("https://twitter.com/elobrerodigital/status/1071100453608394753","1071100453608394753")</f>
        <v>1071100453608394753</v>
      </c>
      <c r="F801" s="11" t="s">
        <v>3135</v>
      </c>
      <c r="G801" s="12"/>
      <c r="H801" s="12"/>
      <c r="I801" s="13">
        <v>0</v>
      </c>
      <c r="J801" s="13">
        <v>0</v>
      </c>
      <c r="K801" s="14" t="str">
        <f>HYPERLINK("http://twitter.com","Twitter Web Client")</f>
        <v>Twitter Web Client</v>
      </c>
      <c r="L801" s="13">
        <v>12959</v>
      </c>
      <c r="M801" s="13">
        <v>4448</v>
      </c>
      <c r="N801" s="13">
        <v>281</v>
      </c>
      <c r="O801" s="15"/>
      <c r="P801" s="6">
        <v>40987.503252314811</v>
      </c>
      <c r="Q801" s="16" t="s">
        <v>60</v>
      </c>
      <c r="R801" s="17" t="s">
        <v>3136</v>
      </c>
      <c r="S801" s="11" t="s">
        <v>3137</v>
      </c>
      <c r="T801" s="12"/>
      <c r="U801" s="10" t="str">
        <f>HYPERLINK("https://pbs.twimg.com/profile_images/1060999968465604609/WRSwoqij.jpg","View")</f>
        <v>View</v>
      </c>
    </row>
    <row r="802" spans="1:21" ht="30.6">
      <c r="A802" s="6">
        <v>43441.787256944444</v>
      </c>
      <c r="B802" s="7" t="str">
        <f>HYPERLINK("https://twitter.com/ATTACNavarra","@ATTACNavarra")</f>
        <v>@ATTACNavarra</v>
      </c>
      <c r="C802" s="8" t="s">
        <v>3138</v>
      </c>
      <c r="D802" s="9" t="s">
        <v>3139</v>
      </c>
      <c r="E802" s="10" t="str">
        <f>HYPERLINK("https://twitter.com/ATTACNavarra/status/1071100440568365056","1071100440568365056")</f>
        <v>1071100440568365056</v>
      </c>
      <c r="F802" s="11" t="s">
        <v>3140</v>
      </c>
      <c r="G802" s="12"/>
      <c r="H802" s="12"/>
      <c r="I802" s="13">
        <v>0</v>
      </c>
      <c r="J802" s="13">
        <v>0</v>
      </c>
      <c r="K802" s="14" t="str">
        <f>HYPERLINK("http://www.facebook.com/twitter","Facebook")</f>
        <v>Facebook</v>
      </c>
      <c r="L802" s="13">
        <v>858</v>
      </c>
      <c r="M802" s="13">
        <v>176</v>
      </c>
      <c r="N802" s="13">
        <v>21</v>
      </c>
      <c r="O802" s="15"/>
      <c r="P802" s="6">
        <v>40965.958483796298</v>
      </c>
      <c r="Q802" s="12"/>
      <c r="R802" s="17" t="s">
        <v>3141</v>
      </c>
      <c r="S802" s="11" t="s">
        <v>3142</v>
      </c>
      <c r="T802" s="12"/>
      <c r="U802" s="10" t="str">
        <f>HYPERLINK("https://pbs.twimg.com/profile_images/1993151460/ATTAC_Navarra-Nafarroa_avatar.jpg","View")</f>
        <v>View</v>
      </c>
    </row>
    <row r="803" spans="1:21" ht="81.599999999999994">
      <c r="A803" s="6">
        <v>43441.785590277781</v>
      </c>
      <c r="B803" s="7" t="str">
        <f>HYPERLINK("https://twitter.com/LuisMariaDeHar1","@LuisMariaDeHar1")</f>
        <v>@LuisMariaDeHar1</v>
      </c>
      <c r="C803" s="8" t="s">
        <v>3143</v>
      </c>
      <c r="D803" s="9" t="s">
        <v>3144</v>
      </c>
      <c r="E803" s="10" t="str">
        <f>HYPERLINK("https://twitter.com/LuisMariaDeHar1/status/1071099835783241732","1071099835783241732")</f>
        <v>1071099835783241732</v>
      </c>
      <c r="F803" s="16" t="s">
        <v>3145</v>
      </c>
      <c r="G803" s="12"/>
      <c r="H803" s="12"/>
      <c r="I803" s="13">
        <v>1</v>
      </c>
      <c r="J803" s="13">
        <v>0</v>
      </c>
      <c r="K803" s="14" t="str">
        <f>HYPERLINK("https://mobile.twitter.com","Twitter Lite")</f>
        <v>Twitter Lite</v>
      </c>
      <c r="L803" s="13">
        <v>75</v>
      </c>
      <c r="M803" s="13">
        <v>14</v>
      </c>
      <c r="N803" s="13">
        <v>0</v>
      </c>
      <c r="O803" s="15"/>
      <c r="P803" s="6">
        <v>42456.949722222227</v>
      </c>
      <c r="Q803" s="12"/>
      <c r="R803" s="19"/>
      <c r="S803" s="12"/>
      <c r="T803" s="12"/>
      <c r="U803" s="10" t="str">
        <f>HYPERLINK("https://pbs.twimg.com/profile_images/826399907959422980/0ltEVdPd.jpg","View")</f>
        <v>View</v>
      </c>
    </row>
    <row r="804" spans="1:21" ht="40.799999999999997">
      <c r="A804" s="6">
        <v>43441.785474537042</v>
      </c>
      <c r="B804" s="7" t="str">
        <f>HYPERLINK("https://twitter.com/JEcheverra","@JEcheverra")</f>
        <v>@JEcheverra</v>
      </c>
      <c r="C804" s="8" t="s">
        <v>3147</v>
      </c>
      <c r="D804" s="9" t="s">
        <v>3139</v>
      </c>
      <c r="E804" s="10" t="str">
        <f>HYPERLINK("https://twitter.com/JEcheverra/status/1071099793685012481","1071099793685012481")</f>
        <v>1071099793685012481</v>
      </c>
      <c r="F804" s="11" t="s">
        <v>3140</v>
      </c>
      <c r="G804" s="12"/>
      <c r="H804" s="12"/>
      <c r="I804" s="13">
        <v>0</v>
      </c>
      <c r="J804" s="13">
        <v>0</v>
      </c>
      <c r="K804" s="14" t="str">
        <f>HYPERLINK("http://www.facebook.com/twitter","Facebook")</f>
        <v>Facebook</v>
      </c>
      <c r="L804" s="13">
        <v>263</v>
      </c>
      <c r="M804" s="13">
        <v>255</v>
      </c>
      <c r="N804" s="13">
        <v>9</v>
      </c>
      <c r="O804" s="15"/>
      <c r="P804" s="6">
        <v>40872.575104166666</v>
      </c>
      <c r="Q804" s="12"/>
      <c r="R804" s="17" t="s">
        <v>3148</v>
      </c>
      <c r="S804" s="12"/>
      <c r="T804" s="12"/>
      <c r="U804" s="10" t="str">
        <f>HYPERLINK("https://pbs.twimg.com/profile_images/2009103717/Luz_tenue.jpg","View")</f>
        <v>View</v>
      </c>
    </row>
    <row r="805" spans="1:21" ht="30.6">
      <c r="A805" s="6">
        <v>43441.785196759258</v>
      </c>
      <c r="B805" s="7" t="str">
        <f>HYPERLINK("https://twitter.com/CetmTransporte","@CetmTransporte")</f>
        <v>@CetmTransporte</v>
      </c>
      <c r="C805" s="8" t="s">
        <v>3149</v>
      </c>
      <c r="D805" s="9" t="s">
        <v>3150</v>
      </c>
      <c r="E805" s="10" t="str">
        <f>HYPERLINK("https://twitter.com/CetmTransporte/status/1071099692551946240","1071099692551946240")</f>
        <v>1071099692551946240</v>
      </c>
      <c r="F805" s="11" t="s">
        <v>3151</v>
      </c>
      <c r="G805" s="12"/>
      <c r="H805" s="12"/>
      <c r="I805" s="13">
        <v>2</v>
      </c>
      <c r="J805" s="13">
        <v>1</v>
      </c>
      <c r="K805" s="14" t="str">
        <f>HYPERLINK("http://twitter.com/download/iphone","Twitter for iPhone")</f>
        <v>Twitter for iPhone</v>
      </c>
      <c r="L805" s="13">
        <v>3203</v>
      </c>
      <c r="M805" s="13">
        <v>515</v>
      </c>
      <c r="N805" s="13">
        <v>79</v>
      </c>
      <c r="O805" s="15"/>
      <c r="P805" s="6">
        <v>42130.460069444445</v>
      </c>
      <c r="Q805" s="16" t="s">
        <v>60</v>
      </c>
      <c r="R805" s="17" t="s">
        <v>3152</v>
      </c>
      <c r="S805" s="11" t="s">
        <v>3153</v>
      </c>
      <c r="T805" s="12"/>
      <c r="U805" s="10" t="str">
        <f>HYPERLINK("https://pbs.twimg.com/profile_images/595876740905488384/1_3YvSOe.jpg","View")</f>
        <v>View</v>
      </c>
    </row>
    <row r="806" spans="1:21" ht="20.399999999999999">
      <c r="A806" s="6">
        <v>43441.784548611111</v>
      </c>
      <c r="B806" s="7" t="str">
        <f>HYPERLINK("https://twitter.com/rscabanillas","@rscabanillas")</f>
        <v>@rscabanillas</v>
      </c>
      <c r="C806" s="8" t="s">
        <v>3154</v>
      </c>
      <c r="D806" s="9" t="s">
        <v>3155</v>
      </c>
      <c r="E806" s="10" t="str">
        <f>HYPERLINK("https://twitter.com/rscabanillas/status/1071099459159973899","1071099459159973899")</f>
        <v>1071099459159973899</v>
      </c>
      <c r="F806" s="12"/>
      <c r="G806" s="12"/>
      <c r="H806" s="12"/>
      <c r="I806" s="13">
        <v>0</v>
      </c>
      <c r="J806" s="13">
        <v>0</v>
      </c>
      <c r="K806" s="14" t="str">
        <f t="shared" ref="K806:K807" si="141">HYPERLINK("http://twitter.com","Twitter Web Client")</f>
        <v>Twitter Web Client</v>
      </c>
      <c r="L806" s="13">
        <v>234</v>
      </c>
      <c r="M806" s="13">
        <v>647</v>
      </c>
      <c r="N806" s="13">
        <v>8</v>
      </c>
      <c r="O806" s="15"/>
      <c r="P806" s="6">
        <v>40281.903067129628</v>
      </c>
      <c r="Q806" s="16" t="s">
        <v>3156</v>
      </c>
      <c r="R806" s="17" t="s">
        <v>3157</v>
      </c>
      <c r="S806" s="12"/>
      <c r="T806" s="12"/>
      <c r="U806" s="10" t="str">
        <f>HYPERLINK("https://pbs.twimg.com/profile_images/2466541336/b20z9vh4c994siwzfxv8.jpeg","View")</f>
        <v>View</v>
      </c>
    </row>
    <row r="807" spans="1:21" ht="51">
      <c r="A807" s="6">
        <v>43441.784421296295</v>
      </c>
      <c r="B807" s="7" t="str">
        <f>HYPERLINK("https://twitter.com/europapress","@europapress")</f>
        <v>@europapress</v>
      </c>
      <c r="C807" s="8" t="s">
        <v>2062</v>
      </c>
      <c r="D807" s="9" t="s">
        <v>2558</v>
      </c>
      <c r="E807" s="10" t="str">
        <f>HYPERLINK("https://twitter.com/europapress/status/1071099410090811392","1071099410090811392")</f>
        <v>1071099410090811392</v>
      </c>
      <c r="F807" s="11" t="s">
        <v>1540</v>
      </c>
      <c r="G807" s="12"/>
      <c r="H807" s="12"/>
      <c r="I807" s="13">
        <v>3</v>
      </c>
      <c r="J807" s="13">
        <v>13</v>
      </c>
      <c r="K807" s="14" t="str">
        <f t="shared" si="141"/>
        <v>Twitter Web Client</v>
      </c>
      <c r="L807" s="13">
        <v>1100739</v>
      </c>
      <c r="M807" s="13">
        <v>1101</v>
      </c>
      <c r="N807" s="13">
        <v>13754</v>
      </c>
      <c r="O807" s="18" t="s">
        <v>41</v>
      </c>
      <c r="P807" s="6">
        <v>40246.461956018517</v>
      </c>
      <c r="Q807" s="12"/>
      <c r="R807" s="17" t="s">
        <v>2065</v>
      </c>
      <c r="S807" s="11" t="s">
        <v>2066</v>
      </c>
      <c r="T807" s="12"/>
      <c r="U807" s="10" t="str">
        <f>HYPERLINK("https://pbs.twimg.com/profile_images/876740155473788928/4V7ewUTC.jpg","View")</f>
        <v>View</v>
      </c>
    </row>
    <row r="808" spans="1:21" ht="20.399999999999999">
      <c r="A808" s="6">
        <v>43441.784259259264</v>
      </c>
      <c r="B808" s="7" t="str">
        <f>HYPERLINK("https://twitter.com/EPNacional","@EPNacional")</f>
        <v>@EPNacional</v>
      </c>
      <c r="C808" s="8" t="s">
        <v>3158</v>
      </c>
      <c r="D808" s="9" t="s">
        <v>2558</v>
      </c>
      <c r="E808" s="10" t="str">
        <f>HYPERLINK("https://twitter.com/EPNacional/status/1071099352272257027","1071099352272257027")</f>
        <v>1071099352272257027</v>
      </c>
      <c r="F808" s="11" t="s">
        <v>1540</v>
      </c>
      <c r="G808" s="12"/>
      <c r="H808" s="12"/>
      <c r="I808" s="13">
        <v>0</v>
      </c>
      <c r="J808" s="13">
        <v>2</v>
      </c>
      <c r="K808" s="14" t="str">
        <f>HYPERLINK("http://www.europapress.es/nacional","Twitter editor Nacional")</f>
        <v>Twitter editor Nacional</v>
      </c>
      <c r="L808" s="13">
        <v>10779</v>
      </c>
      <c r="M808" s="13">
        <v>128</v>
      </c>
      <c r="N808" s="13">
        <v>239</v>
      </c>
      <c r="O808" s="18" t="s">
        <v>41</v>
      </c>
      <c r="P808" s="6">
        <v>41708.447858796295</v>
      </c>
      <c r="Q808" s="12"/>
      <c r="R808" s="17" t="s">
        <v>3159</v>
      </c>
      <c r="S808" s="11" t="s">
        <v>3160</v>
      </c>
      <c r="T808" s="12"/>
      <c r="U808" s="10" t="str">
        <f>HYPERLINK("https://pbs.twimg.com/profile_images/877113547158847488/eIlueLsb.jpg","View")</f>
        <v>View</v>
      </c>
    </row>
    <row r="809" spans="1:21" ht="30.6">
      <c r="A809" s="6">
        <v>43441.782314814816</v>
      </c>
      <c r="B809" s="7" t="str">
        <f>HYPERLINK("https://twitter.com/Mariadetabarnia","@Mariadetabarnia")</f>
        <v>@Mariadetabarnia</v>
      </c>
      <c r="C809" s="8" t="s">
        <v>2012</v>
      </c>
      <c r="D809" s="9" t="s">
        <v>2685</v>
      </c>
      <c r="E809" s="10" t="str">
        <f>HYPERLINK("https://twitter.com/Mariadetabarnia/status/1071098649411751937","1071098649411751937")</f>
        <v>1071098649411751937</v>
      </c>
      <c r="F809" s="11" t="s">
        <v>3161</v>
      </c>
      <c r="G809" s="12"/>
      <c r="H809" s="12"/>
      <c r="I809" s="13">
        <v>0</v>
      </c>
      <c r="J809" s="13">
        <v>0</v>
      </c>
      <c r="K809" s="14" t="str">
        <f>HYPERLINK("http://twitter.com/download/android","Twitter for Android")</f>
        <v>Twitter for Android</v>
      </c>
      <c r="L809" s="13">
        <v>168</v>
      </c>
      <c r="M809" s="13">
        <v>22</v>
      </c>
      <c r="N809" s="13">
        <v>0</v>
      </c>
      <c r="O809" s="15"/>
      <c r="P809" s="6">
        <v>40439.982129629629</v>
      </c>
      <c r="Q809" s="12"/>
      <c r="R809" s="17" t="s">
        <v>2013</v>
      </c>
      <c r="S809" s="12"/>
      <c r="T809" s="12"/>
      <c r="U809" s="10" t="str">
        <f>HYPERLINK("https://pbs.twimg.com/profile_images/1029418929091997701/X8joQICH.jpg","View")</f>
        <v>View</v>
      </c>
    </row>
    <row r="810" spans="1:21" ht="40.799999999999997">
      <c r="A810" s="6">
        <v>43441.78125</v>
      </c>
      <c r="B810" s="7" t="str">
        <f>HYPERLINK("https://twitter.com/InfobaeDeportes","@InfobaeDeportes")</f>
        <v>@InfobaeDeportes</v>
      </c>
      <c r="C810" s="8" t="s">
        <v>2134</v>
      </c>
      <c r="D810" s="9" t="s">
        <v>1308</v>
      </c>
      <c r="E810" s="10" t="str">
        <f>HYPERLINK("https://twitter.com/InfobaeDeportes/status/1071098261967003651","1071098261967003651")</f>
        <v>1071098261967003651</v>
      </c>
      <c r="F810" s="11" t="s">
        <v>2135</v>
      </c>
      <c r="G810" s="11" t="s">
        <v>3162</v>
      </c>
      <c r="H810" s="12"/>
      <c r="I810" s="13">
        <v>0</v>
      </c>
      <c r="J810" s="13">
        <v>3</v>
      </c>
      <c r="K810" s="14" t="str">
        <f>HYPERLINK("https://about.twitter.com/products/tweetdeck","TweetDeck")</f>
        <v>TweetDeck</v>
      </c>
      <c r="L810" s="13">
        <v>100253</v>
      </c>
      <c r="M810" s="13">
        <v>2046</v>
      </c>
      <c r="N810" s="13">
        <v>899</v>
      </c>
      <c r="O810" s="18" t="s">
        <v>41</v>
      </c>
      <c r="P810" s="6">
        <v>40411.84306712963</v>
      </c>
      <c r="Q810" s="16" t="s">
        <v>1515</v>
      </c>
      <c r="R810" s="17" t="s">
        <v>2138</v>
      </c>
      <c r="S810" s="11" t="s">
        <v>2139</v>
      </c>
      <c r="T810" s="12"/>
      <c r="U810" s="10" t="str">
        <f>HYPERLINK("https://pbs.twimg.com/profile_images/879377154659819521/yPohztCq.jpg","View")</f>
        <v>View</v>
      </c>
    </row>
    <row r="811" spans="1:21" ht="40.799999999999997">
      <c r="A811" s="6">
        <v>43441.780868055561</v>
      </c>
      <c r="B811" s="7" t="str">
        <f>HYPERLINK("https://twitter.com/al0re","@al0re")</f>
        <v>@al0re</v>
      </c>
      <c r="C811" s="8" t="s">
        <v>3163</v>
      </c>
      <c r="D811" s="9" t="s">
        <v>3164</v>
      </c>
      <c r="E811" s="10" t="str">
        <f>HYPERLINK("https://twitter.com/al0re/status/1071098125308317698","1071098125308317698")</f>
        <v>1071098125308317698</v>
      </c>
      <c r="F811" s="12"/>
      <c r="G811" s="12"/>
      <c r="H811" s="12"/>
      <c r="I811" s="13">
        <v>0</v>
      </c>
      <c r="J811" s="13">
        <v>1</v>
      </c>
      <c r="K811" s="14" t="str">
        <f>HYPERLINK("http://twitter.com/#!/download/ipad","Twitter for iPad")</f>
        <v>Twitter for iPad</v>
      </c>
      <c r="L811" s="13">
        <v>29</v>
      </c>
      <c r="M811" s="13">
        <v>79</v>
      </c>
      <c r="N811" s="13">
        <v>0</v>
      </c>
      <c r="O811" s="15"/>
      <c r="P811" s="6">
        <v>41214.823900462965</v>
      </c>
      <c r="Q811" s="12"/>
      <c r="R811" s="17" t="s">
        <v>3165</v>
      </c>
      <c r="S811" s="12"/>
      <c r="T811" s="12"/>
      <c r="U811" s="10" t="str">
        <f>HYPERLINK("https://pbs.twimg.com/profile_images/1069235334284800002/Hljn1Mou.jpg","View")</f>
        <v>View</v>
      </c>
    </row>
    <row r="812" spans="1:21" ht="40.799999999999997">
      <c r="A812" s="6">
        <v>43441.780474537038</v>
      </c>
      <c r="B812" s="7" t="str">
        <f>HYPERLINK("https://twitter.com/MayorTom69","@MayorTom69")</f>
        <v>@MayorTom69</v>
      </c>
      <c r="C812" s="8" t="s">
        <v>3166</v>
      </c>
      <c r="D812" s="9" t="s">
        <v>3167</v>
      </c>
      <c r="E812" s="10" t="str">
        <f>HYPERLINK("https://twitter.com/MayorTom69/status/1071097983335350273","1071097983335350273")</f>
        <v>1071097983335350273</v>
      </c>
      <c r="F812" s="12"/>
      <c r="G812" s="12"/>
      <c r="H812" s="12"/>
      <c r="I812" s="13">
        <v>0</v>
      </c>
      <c r="J812" s="13">
        <v>1</v>
      </c>
      <c r="K812" s="14" t="str">
        <f>HYPERLINK("http://twitter.com/download/android","Twitter for Android")</f>
        <v>Twitter for Android</v>
      </c>
      <c r="L812" s="13">
        <v>42</v>
      </c>
      <c r="M812" s="13">
        <v>67</v>
      </c>
      <c r="N812" s="13">
        <v>1</v>
      </c>
      <c r="O812" s="15"/>
      <c r="P812" s="6">
        <v>41646.709606481483</v>
      </c>
      <c r="Q812" s="12"/>
      <c r="R812" s="19"/>
      <c r="S812" s="12"/>
      <c r="T812" s="12"/>
      <c r="U812" s="10" t="str">
        <f>HYPERLINK("https://pbs.twimg.com/profile_images/420596606887817216/G73m3_Hh.jpeg","View")</f>
        <v>View</v>
      </c>
    </row>
    <row r="813" spans="1:21" ht="20.399999999999999">
      <c r="A813" s="6">
        <v>43441.780451388884</v>
      </c>
      <c r="B813" s="7" t="str">
        <f>HYPERLINK("https://twitter.com/lolapastur","@lolapastur")</f>
        <v>@lolapastur</v>
      </c>
      <c r="C813" s="8" t="s">
        <v>3168</v>
      </c>
      <c r="D813" s="9" t="s">
        <v>3169</v>
      </c>
      <c r="E813" s="10" t="str">
        <f>HYPERLINK("https://twitter.com/lolapastur/status/1071097974682501121","1071097974682501121")</f>
        <v>1071097974682501121</v>
      </c>
      <c r="F813" s="11" t="s">
        <v>432</v>
      </c>
      <c r="G813" s="12"/>
      <c r="H813" s="12"/>
      <c r="I813" s="13">
        <v>0</v>
      </c>
      <c r="J813" s="13">
        <v>0</v>
      </c>
      <c r="K813" s="14" t="str">
        <f>HYPERLINK("http://twitter.com/download/iphone","Twitter for iPhone")</f>
        <v>Twitter for iPhone</v>
      </c>
      <c r="L813" s="13">
        <v>3784</v>
      </c>
      <c r="M813" s="13">
        <v>2833</v>
      </c>
      <c r="N813" s="13">
        <v>33</v>
      </c>
      <c r="O813" s="15"/>
      <c r="P813" s="6">
        <v>40913.599293981482</v>
      </c>
      <c r="Q813" s="12"/>
      <c r="R813" s="17" t="s">
        <v>3170</v>
      </c>
      <c r="S813" s="12"/>
      <c r="T813" s="12"/>
      <c r="U813" s="10" t="str">
        <f>HYPERLINK("https://pbs.twimg.com/profile_images/934821295736451073/tnymHvNj.jpg","View")</f>
        <v>View</v>
      </c>
    </row>
    <row r="814" spans="1:21" ht="40.799999999999997">
      <c r="A814" s="6">
        <v>43441.77989583333</v>
      </c>
      <c r="B814" s="7" t="str">
        <f>HYPERLINK("https://twitter.com/madridactual","@madridactual")</f>
        <v>@madridactual</v>
      </c>
      <c r="C814" s="8" t="s">
        <v>3171</v>
      </c>
      <c r="D814" s="9" t="s">
        <v>3172</v>
      </c>
      <c r="E814" s="10" t="str">
        <f>HYPERLINK("https://twitter.com/madridactual/status/1071097771107725313","1071097771107725313")</f>
        <v>1071097771107725313</v>
      </c>
      <c r="F814" s="11" t="s">
        <v>3173</v>
      </c>
      <c r="G814" s="11" t="s">
        <v>3174</v>
      </c>
      <c r="H814" s="12"/>
      <c r="I814" s="13">
        <v>0</v>
      </c>
      <c r="J814" s="13">
        <v>0</v>
      </c>
      <c r="K814" s="14" t="str">
        <f>HYPERLINK("http://www.madridactual.es","Madrid Actual Noticias")</f>
        <v>Madrid Actual Noticias</v>
      </c>
      <c r="L814" s="13">
        <v>22425</v>
      </c>
      <c r="M814" s="13">
        <v>418</v>
      </c>
      <c r="N814" s="13">
        <v>646</v>
      </c>
      <c r="O814" s="15"/>
      <c r="P814" s="6">
        <v>39990.413622685184</v>
      </c>
      <c r="Q814" s="16" t="s">
        <v>1116</v>
      </c>
      <c r="R814" s="17" t="s">
        <v>3175</v>
      </c>
      <c r="S814" s="11" t="s">
        <v>3176</v>
      </c>
      <c r="T814" s="12"/>
      <c r="U814" s="10" t="str">
        <f>HYPERLINK("https://pbs.twimg.com/profile_images/448827089660030976/uph1Z7IK.png","View")</f>
        <v>View</v>
      </c>
    </row>
    <row r="815" spans="1:21" ht="40.799999999999997">
      <c r="A815" s="6">
        <v>43441.779849537037</v>
      </c>
      <c r="B815" s="7" t="str">
        <f>HYPERLINK("https://twitter.com/jomalumi1","@jomalumi1")</f>
        <v>@jomalumi1</v>
      </c>
      <c r="C815" s="8" t="s">
        <v>3178</v>
      </c>
      <c r="D815" s="9" t="s">
        <v>3179</v>
      </c>
      <c r="E815" s="10" t="str">
        <f>HYPERLINK("https://twitter.com/jomalumi1/status/1071097756205363200","1071097756205363200")</f>
        <v>1071097756205363200</v>
      </c>
      <c r="F815" s="11" t="s">
        <v>3181</v>
      </c>
      <c r="G815" s="12"/>
      <c r="H815" s="12"/>
      <c r="I815" s="13">
        <v>1</v>
      </c>
      <c r="J815" s="13">
        <v>3</v>
      </c>
      <c r="K815" s="14" t="str">
        <f>HYPERLINK("https://mobile.twitter.com","Twitter Lite")</f>
        <v>Twitter Lite</v>
      </c>
      <c r="L815" s="13">
        <v>8945</v>
      </c>
      <c r="M815" s="13">
        <v>7512</v>
      </c>
      <c r="N815" s="13">
        <v>34</v>
      </c>
      <c r="O815" s="15"/>
      <c r="P815" s="6">
        <v>42594.023460648154</v>
      </c>
      <c r="Q815" s="16" t="s">
        <v>367</v>
      </c>
      <c r="R815" s="17" t="s">
        <v>3182</v>
      </c>
      <c r="S815" s="12"/>
      <c r="T815" s="12"/>
      <c r="U815" s="10" t="str">
        <f>HYPERLINK("https://pbs.twimg.com/profile_images/968910222935908352/ah-5pBqA.jpg","View")</f>
        <v>View</v>
      </c>
    </row>
    <row r="816" spans="1:21" ht="51">
      <c r="A816" s="6">
        <v>43441.779826388884</v>
      </c>
      <c r="B816" s="7" t="str">
        <f>HYPERLINK("https://twitter.com/aelviro1","@aelviro1")</f>
        <v>@aelviro1</v>
      </c>
      <c r="C816" s="8" t="s">
        <v>3183</v>
      </c>
      <c r="D816" s="9" t="s">
        <v>3184</v>
      </c>
      <c r="E816" s="10" t="str">
        <f>HYPERLINK("https://twitter.com/aelviro1/status/1071097747628003329","1071097747628003329")</f>
        <v>1071097747628003329</v>
      </c>
      <c r="F816" s="11" t="s">
        <v>2938</v>
      </c>
      <c r="G816" s="12"/>
      <c r="H816" s="12"/>
      <c r="I816" s="13">
        <v>0</v>
      </c>
      <c r="J816" s="13">
        <v>2</v>
      </c>
      <c r="K816" s="14" t="str">
        <f t="shared" ref="K816:K819" si="142">HYPERLINK("http://twitter.com","Twitter Web Client")</f>
        <v>Twitter Web Client</v>
      </c>
      <c r="L816" s="13">
        <v>736</v>
      </c>
      <c r="M816" s="13">
        <v>1422</v>
      </c>
      <c r="N816" s="13">
        <v>14</v>
      </c>
      <c r="O816" s="15"/>
      <c r="P816" s="6">
        <v>40983.73232638889</v>
      </c>
      <c r="Q816" s="16" t="s">
        <v>3185</v>
      </c>
      <c r="R816" s="17" t="s">
        <v>3186</v>
      </c>
      <c r="S816" s="12"/>
      <c r="T816" s="12"/>
      <c r="U816" s="10" t="str">
        <f>HYPERLINK("https://pbs.twimg.com/profile_images/615203147229888512/pIlD04Aw.jpg","View")</f>
        <v>View</v>
      </c>
    </row>
    <row r="817" spans="1:21" ht="51">
      <c r="A817" s="6">
        <v>43441.779212962967</v>
      </c>
      <c r="B817" s="7" t="str">
        <f>HYPERLINK("https://twitter.com/enriquedediegov","@enriquedediegov")</f>
        <v>@enriquedediegov</v>
      </c>
      <c r="C817" s="8" t="s">
        <v>2503</v>
      </c>
      <c r="D817" s="9" t="s">
        <v>3187</v>
      </c>
      <c r="E817" s="10" t="str">
        <f>HYPERLINK("https://twitter.com/enriquedediegov/status/1071097526445588481","1071097526445588481")</f>
        <v>1071097526445588481</v>
      </c>
      <c r="F817" s="12"/>
      <c r="G817" s="12"/>
      <c r="H817" s="12"/>
      <c r="I817" s="13">
        <v>46</v>
      </c>
      <c r="J817" s="13">
        <v>65</v>
      </c>
      <c r="K817" s="14" t="str">
        <f t="shared" si="142"/>
        <v>Twitter Web Client</v>
      </c>
      <c r="L817" s="13">
        <v>7792</v>
      </c>
      <c r="M817" s="13">
        <v>6053</v>
      </c>
      <c r="N817" s="13">
        <v>179</v>
      </c>
      <c r="O817" s="15"/>
      <c r="P817" s="6">
        <v>41293.717129629629</v>
      </c>
      <c r="Q817" s="16" t="s">
        <v>60</v>
      </c>
      <c r="R817" s="17" t="s">
        <v>2505</v>
      </c>
      <c r="S817" s="11" t="s">
        <v>2506</v>
      </c>
      <c r="T817" s="12"/>
      <c r="U817" s="10" t="str">
        <f>HYPERLINK("https://pbs.twimg.com/profile_images/3129623790/4ae197d01442e05dee4622297c3b9642.jpeg","View")</f>
        <v>View</v>
      </c>
    </row>
    <row r="818" spans="1:21" ht="30.6">
      <c r="A818" s="6">
        <v>43441.778958333336</v>
      </c>
      <c r="B818" s="7" t="str">
        <f>HYPERLINK("https://twitter.com/luisrenduelesm","@luisrenduelesm")</f>
        <v>@luisrenduelesm</v>
      </c>
      <c r="C818" s="8" t="s">
        <v>3188</v>
      </c>
      <c r="D818" s="9" t="s">
        <v>3189</v>
      </c>
      <c r="E818" s="10" t="str">
        <f>HYPERLINK("https://twitter.com/luisrenduelesm/status/1071097433302712320","1071097433302712320")</f>
        <v>1071097433302712320</v>
      </c>
      <c r="F818" s="11" t="s">
        <v>3190</v>
      </c>
      <c r="G818" s="12"/>
      <c r="H818" s="12"/>
      <c r="I818" s="13">
        <v>0</v>
      </c>
      <c r="J818" s="13">
        <v>0</v>
      </c>
      <c r="K818" s="14" t="str">
        <f t="shared" si="142"/>
        <v>Twitter Web Client</v>
      </c>
      <c r="L818" s="13">
        <v>279</v>
      </c>
      <c r="M818" s="13">
        <v>300</v>
      </c>
      <c r="N818" s="13">
        <v>4</v>
      </c>
      <c r="O818" s="15"/>
      <c r="P818" s="6">
        <v>42293.960509259261</v>
      </c>
      <c r="Q818" s="16" t="s">
        <v>3191</v>
      </c>
      <c r="R818" s="17" t="s">
        <v>3192</v>
      </c>
      <c r="S818" s="11" t="s">
        <v>3193</v>
      </c>
      <c r="T818" s="12"/>
      <c r="U818" s="10" t="str">
        <f>HYPERLINK("https://pbs.twimg.com/profile_images/1065369850816675840/2FIgULkN.jpg","View")</f>
        <v>View</v>
      </c>
    </row>
    <row r="819" spans="1:21" ht="20.399999999999999">
      <c r="A819" s="6">
        <v>43441.778622685189</v>
      </c>
      <c r="B819" s="7" t="str">
        <f>HYPERLINK("https://twitter.com/miguelpearroya","@miguelpearroya")</f>
        <v>@miguelpearroya</v>
      </c>
      <c r="C819" s="8" t="s">
        <v>2962</v>
      </c>
      <c r="D819" s="9" t="s">
        <v>2150</v>
      </c>
      <c r="E819" s="10" t="str">
        <f>HYPERLINK("https://twitter.com/miguelpearroya/status/1071097310417993728","1071097310417993728")</f>
        <v>1071097310417993728</v>
      </c>
      <c r="F819" s="11" t="s">
        <v>3194</v>
      </c>
      <c r="G819" s="12"/>
      <c r="H819" s="12"/>
      <c r="I819" s="13">
        <v>0</v>
      </c>
      <c r="J819" s="13">
        <v>0</v>
      </c>
      <c r="K819" s="14" t="str">
        <f t="shared" si="142"/>
        <v>Twitter Web Client</v>
      </c>
      <c r="L819" s="13">
        <v>140</v>
      </c>
      <c r="M819" s="13">
        <v>555</v>
      </c>
      <c r="N819" s="13">
        <v>9</v>
      </c>
      <c r="O819" s="15"/>
      <c r="P819" s="6">
        <v>40545.854756944442</v>
      </c>
      <c r="Q819" s="16" t="s">
        <v>60</v>
      </c>
      <c r="R819" s="19"/>
      <c r="S819" s="12"/>
      <c r="T819" s="12"/>
      <c r="U819" s="10" t="str">
        <f>HYPERLINK("https://pbs.twimg.com/profile_images/479005945193058304/mM3-THqM.jpeg","View")</f>
        <v>View</v>
      </c>
    </row>
    <row r="820" spans="1:21" ht="122.4">
      <c r="A820" s="6">
        <v>43441.778321759259</v>
      </c>
      <c r="B820" s="7" t="str">
        <f>HYPERLINK("https://twitter.com/Gabrielaapf","@Gabrielaapf")</f>
        <v>@Gabrielaapf</v>
      </c>
      <c r="C820" s="8" t="s">
        <v>3195</v>
      </c>
      <c r="D820" s="9" t="s">
        <v>3196</v>
      </c>
      <c r="E820" s="10" t="str">
        <f>HYPERLINK("https://twitter.com/Gabrielaapf/status/1071097200221061122","1071097200221061122")</f>
        <v>1071097200221061122</v>
      </c>
      <c r="F820" s="11" t="s">
        <v>3197</v>
      </c>
      <c r="G820" s="11" t="s">
        <v>3198</v>
      </c>
      <c r="H820" s="12"/>
      <c r="I820" s="13">
        <v>0</v>
      </c>
      <c r="J820" s="13">
        <v>1</v>
      </c>
      <c r="K820" s="14" t="str">
        <f>HYPERLINK("http://twitter.com/#!/download/ipad","Twitter for iPad")</f>
        <v>Twitter for iPad</v>
      </c>
      <c r="L820" s="13">
        <v>152</v>
      </c>
      <c r="M820" s="13">
        <v>284</v>
      </c>
      <c r="N820" s="13">
        <v>0</v>
      </c>
      <c r="O820" s="15"/>
      <c r="P820" s="6">
        <v>40805.015590277777</v>
      </c>
      <c r="Q820" s="16" t="s">
        <v>1528</v>
      </c>
      <c r="R820" s="19"/>
      <c r="S820" s="11" t="s">
        <v>3199</v>
      </c>
      <c r="T820" s="12"/>
      <c r="U820" s="10" t="str">
        <f>HYPERLINK("https://pbs.twimg.com/profile_images/883055815892107266/fBfRTkg0.jpg","View")</f>
        <v>View</v>
      </c>
    </row>
    <row r="821" spans="1:21" ht="30.6">
      <c r="A821" s="6">
        <v>43441.773877314816</v>
      </c>
      <c r="B821" s="7" t="str">
        <f>HYPERLINK("https://twitter.com/alquimia_cafe","@alquimia_cafe")</f>
        <v>@alquimia_cafe</v>
      </c>
      <c r="C821" s="8" t="s">
        <v>3200</v>
      </c>
      <c r="D821" s="9" t="s">
        <v>3201</v>
      </c>
      <c r="E821" s="10" t="str">
        <f>HYPERLINK("https://twitter.com/alquimia_cafe/status/1071095591827070976","1071095591827070976")</f>
        <v>1071095591827070976</v>
      </c>
      <c r="F821" s="11" t="s">
        <v>3202</v>
      </c>
      <c r="G821" s="12"/>
      <c r="H821" s="12"/>
      <c r="I821" s="13">
        <v>0</v>
      </c>
      <c r="J821" s="13">
        <v>0</v>
      </c>
      <c r="K821" s="14" t="str">
        <f>HYPERLINK("http://www.facebook.com/twitter","Facebook")</f>
        <v>Facebook</v>
      </c>
      <c r="L821" s="13">
        <v>255</v>
      </c>
      <c r="M821" s="13">
        <v>392</v>
      </c>
      <c r="N821" s="13">
        <v>4</v>
      </c>
      <c r="O821" s="15"/>
      <c r="P821" s="6">
        <v>40519.483090277776</v>
      </c>
      <c r="Q821" s="16" t="s">
        <v>3203</v>
      </c>
      <c r="R821" s="17" t="s">
        <v>3204</v>
      </c>
      <c r="S821" s="11" t="s">
        <v>3205</v>
      </c>
      <c r="T821" s="12"/>
      <c r="U821" s="10" t="str">
        <f>HYPERLINK("https://pbs.twimg.com/profile_images/684824887140159488/HpjPv6Br.jpg","View")</f>
        <v>View</v>
      </c>
    </row>
    <row r="822" spans="1:21" ht="30.6">
      <c r="A822" s="6">
        <v>43441.773761574077</v>
      </c>
      <c r="B822" s="7" t="str">
        <f>HYPERLINK("https://twitter.com/___Nazareno___","@___Nazareno___")</f>
        <v>@___Nazareno___</v>
      </c>
      <c r="C822" s="8" t="s">
        <v>1041</v>
      </c>
      <c r="D822" s="9" t="s">
        <v>3206</v>
      </c>
      <c r="E822" s="10" t="str">
        <f>HYPERLINK("https://twitter.com/___Nazareno___/status/1071095547212324865","1071095547212324865")</f>
        <v>1071095547212324865</v>
      </c>
      <c r="F822" s="11" t="s">
        <v>3207</v>
      </c>
      <c r="G822" s="12"/>
      <c r="H822" s="12"/>
      <c r="I822" s="13">
        <v>0</v>
      </c>
      <c r="J822" s="13">
        <v>0</v>
      </c>
      <c r="K822" s="14" t="str">
        <f t="shared" ref="K822:K823" si="143">HYPERLINK("http://twitter.com/download/android","Twitter for Android")</f>
        <v>Twitter for Android</v>
      </c>
      <c r="L822" s="13">
        <v>187</v>
      </c>
      <c r="M822" s="13">
        <v>398</v>
      </c>
      <c r="N822" s="13">
        <v>2</v>
      </c>
      <c r="O822" s="15"/>
      <c r="P822" s="6">
        <v>40476.954664351855</v>
      </c>
      <c r="Q822" s="12"/>
      <c r="R822" s="17" t="s">
        <v>3208</v>
      </c>
      <c r="S822" s="11" t="s">
        <v>3209</v>
      </c>
      <c r="T822" s="12"/>
      <c r="U822" s="10" t="str">
        <f>HYPERLINK("https://pbs.twimg.com/profile_images/945718120592957440/pODZOJ2q.jpg","View")</f>
        <v>View</v>
      </c>
    </row>
    <row r="823" spans="1:21" ht="61.2">
      <c r="A823" s="6">
        <v>43441.773622685185</v>
      </c>
      <c r="B823" s="7" t="str">
        <f>HYPERLINK("https://twitter.com/XavierGarcia24","@XavierGarcia24")</f>
        <v>@XavierGarcia24</v>
      </c>
      <c r="C823" s="8" t="s">
        <v>3210</v>
      </c>
      <c r="D823" s="9" t="s">
        <v>3211</v>
      </c>
      <c r="E823" s="10" t="str">
        <f>HYPERLINK("https://twitter.com/XavierGarcia24/status/1071095497983713280","1071095497983713280")</f>
        <v>1071095497983713280</v>
      </c>
      <c r="F823" s="11" t="s">
        <v>3212</v>
      </c>
      <c r="G823" s="12"/>
      <c r="H823" s="12"/>
      <c r="I823" s="13">
        <v>0</v>
      </c>
      <c r="J823" s="13">
        <v>0</v>
      </c>
      <c r="K823" s="14" t="str">
        <f t="shared" si="143"/>
        <v>Twitter for Android</v>
      </c>
      <c r="L823" s="13">
        <v>46</v>
      </c>
      <c r="M823" s="13">
        <v>130</v>
      </c>
      <c r="N823" s="13">
        <v>0</v>
      </c>
      <c r="O823" s="15"/>
      <c r="P823" s="6">
        <v>40821.802719907406</v>
      </c>
      <c r="Q823" s="12"/>
      <c r="R823" s="19"/>
      <c r="S823" s="12"/>
      <c r="T823" s="12"/>
      <c r="U823" s="10" t="str">
        <f>HYPERLINK("https://pbs.twimg.com/profile_images/974250050325917696/wC11CQjl.jpg","View")</f>
        <v>View</v>
      </c>
    </row>
    <row r="824" spans="1:21" ht="51">
      <c r="A824" s="6">
        <v>43441.773090277777</v>
      </c>
      <c r="B824" s="7" t="str">
        <f>HYPERLINK("https://twitter.com/vox_villalbilla","@vox_villalbilla")</f>
        <v>@vox_villalbilla</v>
      </c>
      <c r="C824" s="8" t="s">
        <v>3213</v>
      </c>
      <c r="D824" s="9" t="s">
        <v>3214</v>
      </c>
      <c r="E824" s="10" t="str">
        <f>HYPERLINK("https://twitter.com/vox_villalbilla/status/1071095305871990784","1071095305871990784")</f>
        <v>1071095305871990784</v>
      </c>
      <c r="F824" s="12"/>
      <c r="G824" s="11" t="s">
        <v>3215</v>
      </c>
      <c r="H824" s="12"/>
      <c r="I824" s="13">
        <v>0</v>
      </c>
      <c r="J824" s="13">
        <v>1</v>
      </c>
      <c r="K824" s="14" t="str">
        <f>HYPERLINK("http://twitter.com","Twitter Web Client")</f>
        <v>Twitter Web Client</v>
      </c>
      <c r="L824" s="13">
        <v>908</v>
      </c>
      <c r="M824" s="13">
        <v>646</v>
      </c>
      <c r="N824" s="13">
        <v>3</v>
      </c>
      <c r="O824" s="15"/>
      <c r="P824" s="6">
        <v>42996.591886574075</v>
      </c>
      <c r="Q824" s="16" t="s">
        <v>3216</v>
      </c>
      <c r="R824" s="17" t="s">
        <v>3217</v>
      </c>
      <c r="S824" s="11" t="s">
        <v>3218</v>
      </c>
      <c r="T824" s="12"/>
      <c r="U824" s="10" t="str">
        <f>HYPERLINK("https://pbs.twimg.com/profile_images/1063776897644011521/a_fYzWJ-.jpg","View")</f>
        <v>View</v>
      </c>
    </row>
    <row r="825" spans="1:21" ht="40.799999999999997">
      <c r="A825" s="6">
        <v>43441.77275462963</v>
      </c>
      <c r="B825" s="7" t="str">
        <f>HYPERLINK("https://twitter.com/Linares_Dptvo","@Linares_Dptvo")</f>
        <v>@Linares_Dptvo</v>
      </c>
      <c r="C825" s="8" t="s">
        <v>3219</v>
      </c>
      <c r="D825" s="9" t="s">
        <v>3220</v>
      </c>
      <c r="E825" s="10" t="str">
        <f>HYPERLINK("https://twitter.com/Linares_Dptvo/status/1071095182970499072","1071095182970499072")</f>
        <v>1071095182970499072</v>
      </c>
      <c r="F825" s="12"/>
      <c r="G825" s="11" t="s">
        <v>3221</v>
      </c>
      <c r="H825" s="12"/>
      <c r="I825" s="13">
        <v>6</v>
      </c>
      <c r="J825" s="13">
        <v>21</v>
      </c>
      <c r="K825" s="14" t="str">
        <f>HYPERLINK("http://twitter.com/download/android","Twitter for Android")</f>
        <v>Twitter for Android</v>
      </c>
      <c r="L825" s="13">
        <v>16108</v>
      </c>
      <c r="M825" s="13">
        <v>120</v>
      </c>
      <c r="N825" s="13">
        <v>122</v>
      </c>
      <c r="O825" s="18" t="s">
        <v>41</v>
      </c>
      <c r="P825" s="6">
        <v>40585.575960648144</v>
      </c>
      <c r="Q825" s="16" t="s">
        <v>3222</v>
      </c>
      <c r="R825" s="17" t="s">
        <v>3223</v>
      </c>
      <c r="S825" s="11" t="s">
        <v>3224</v>
      </c>
      <c r="T825" s="12"/>
      <c r="U825" s="10" t="str">
        <f>HYPERLINK("https://pbs.twimg.com/profile_images/1054117677223067648/bzF63juu.jpg","View")</f>
        <v>View</v>
      </c>
    </row>
    <row r="826" spans="1:21" ht="20.399999999999999">
      <c r="A826" s="6">
        <v>43441.772511574076</v>
      </c>
      <c r="B826" s="7" t="str">
        <f>HYPERLINK("https://twitter.com/RicardoAcciardi","@RicardoAcciardi")</f>
        <v>@RicardoAcciardi</v>
      </c>
      <c r="C826" s="8" t="s">
        <v>3225</v>
      </c>
      <c r="D826" s="9" t="s">
        <v>1308</v>
      </c>
      <c r="E826" s="10" t="str">
        <f>HYPERLINK("https://twitter.com/RicardoAcciardi/status/1071095097159225350","1071095097159225350")</f>
        <v>1071095097159225350</v>
      </c>
      <c r="F826" s="11" t="s">
        <v>1309</v>
      </c>
      <c r="G826" s="12"/>
      <c r="H826" s="12"/>
      <c r="I826" s="13">
        <v>0</v>
      </c>
      <c r="J826" s="13">
        <v>0</v>
      </c>
      <c r="K826" s="14" t="str">
        <f>HYPERLINK("http://twitter.com","Twitter Web Client")</f>
        <v>Twitter Web Client</v>
      </c>
      <c r="L826" s="13">
        <v>1370</v>
      </c>
      <c r="M826" s="13">
        <v>1430</v>
      </c>
      <c r="N826" s="13">
        <v>16</v>
      </c>
      <c r="O826" s="15"/>
      <c r="P826" s="6">
        <v>40380.726956018516</v>
      </c>
      <c r="Q826" s="16" t="s">
        <v>3226</v>
      </c>
      <c r="R826" s="17" t="s">
        <v>3227</v>
      </c>
      <c r="S826" s="12"/>
      <c r="T826" s="12"/>
      <c r="U826" s="10" t="str">
        <f>HYPERLINK("https://pbs.twimg.com/profile_images/967967931123535872/i5TcZeaP.jpg","View")</f>
        <v>View</v>
      </c>
    </row>
    <row r="827" spans="1:21" ht="20.399999999999999">
      <c r="A827" s="6">
        <v>43441.772395833337</v>
      </c>
      <c r="B827" s="7" t="str">
        <f>HYPERLINK("https://twitter.com/hendelbert","@hendelbert")</f>
        <v>@hendelbert</v>
      </c>
      <c r="C827" s="8" t="s">
        <v>3228</v>
      </c>
      <c r="D827" s="9" t="s">
        <v>3229</v>
      </c>
      <c r="E827" s="10" t="str">
        <f>HYPERLINK("https://twitter.com/hendelbert/status/1071095053421027328","1071095053421027328")</f>
        <v>1071095053421027328</v>
      </c>
      <c r="F827" s="11" t="s">
        <v>3230</v>
      </c>
      <c r="G827" s="12"/>
      <c r="H827" s="12"/>
      <c r="I827" s="13">
        <v>0</v>
      </c>
      <c r="J827" s="13">
        <v>0</v>
      </c>
      <c r="K827" s="14" t="str">
        <f>HYPERLINK("https://ifttt.com","IFTTT")</f>
        <v>IFTTT</v>
      </c>
      <c r="L827" s="13">
        <v>2454</v>
      </c>
      <c r="M827" s="13">
        <v>115</v>
      </c>
      <c r="N827" s="13">
        <v>19</v>
      </c>
      <c r="O827" s="15"/>
      <c r="P827" s="6">
        <v>40215.701620370368</v>
      </c>
      <c r="Q827" s="16" t="s">
        <v>3231</v>
      </c>
      <c r="R827" s="17" t="s">
        <v>3232</v>
      </c>
      <c r="S827" s="11" t="s">
        <v>3233</v>
      </c>
      <c r="T827" s="12"/>
      <c r="U827" s="10" t="str">
        <f>HYPERLINK("https://pbs.twimg.com/profile_images/558286287107796995/jKBCkctD.jpeg","View")</f>
        <v>View</v>
      </c>
    </row>
    <row r="828" spans="1:21" ht="40.799999999999997">
      <c r="A828" s="6">
        <v>43441.77208333333</v>
      </c>
      <c r="B828" s="7" t="str">
        <f>HYPERLINK("https://twitter.com/tangomundial","@tangomundial")</f>
        <v>@tangomundial</v>
      </c>
      <c r="C828" s="8" t="s">
        <v>3234</v>
      </c>
      <c r="D828" s="9" t="s">
        <v>3235</v>
      </c>
      <c r="E828" s="10" t="str">
        <f>HYPERLINK("https://twitter.com/tangomundial/status/1071094941688971266","1071094941688971266")</f>
        <v>1071094941688971266</v>
      </c>
      <c r="F828" s="11" t="s">
        <v>1176</v>
      </c>
      <c r="G828" s="12"/>
      <c r="H828" s="12"/>
      <c r="I828" s="13">
        <v>0</v>
      </c>
      <c r="J828" s="13">
        <v>0</v>
      </c>
      <c r="K828" s="14" t="str">
        <f>HYPERLINK("http://twitter.com","Twitter Web Client")</f>
        <v>Twitter Web Client</v>
      </c>
      <c r="L828" s="13">
        <v>254</v>
      </c>
      <c r="M828" s="13">
        <v>18</v>
      </c>
      <c r="N828" s="13">
        <v>29</v>
      </c>
      <c r="O828" s="15"/>
      <c r="P828" s="6">
        <v>40371.75135416667</v>
      </c>
      <c r="Q828" s="16" t="s">
        <v>3236</v>
      </c>
      <c r="R828" s="17" t="s">
        <v>3237</v>
      </c>
      <c r="S828" s="11" t="s">
        <v>3238</v>
      </c>
      <c r="T828" s="12"/>
      <c r="U828" s="10" t="str">
        <f>HYPERLINK("https://pbs.twimg.com/profile_images/543049026581454849/nEwj1m-W.jpeg","View")</f>
        <v>View</v>
      </c>
    </row>
    <row r="829" spans="1:21" ht="30.6">
      <c r="A829" s="6">
        <v>43441.77143518519</v>
      </c>
      <c r="B829" s="7" t="str">
        <f>HYPERLINK("https://twitter.com/eduardoinda","@eduardoinda")</f>
        <v>@eduardoinda</v>
      </c>
      <c r="C829" s="8" t="s">
        <v>1819</v>
      </c>
      <c r="D829" s="9" t="s">
        <v>3239</v>
      </c>
      <c r="E829" s="10" t="str">
        <f>HYPERLINK("https://twitter.com/eduardoinda/status/1071094704002031616","1071094704002031616")</f>
        <v>1071094704002031616</v>
      </c>
      <c r="F829" s="11" t="s">
        <v>3240</v>
      </c>
      <c r="G829" s="12"/>
      <c r="H829" s="12"/>
      <c r="I829" s="13">
        <v>12</v>
      </c>
      <c r="J829" s="13">
        <v>19</v>
      </c>
      <c r="K829" s="14" t="str">
        <f>HYPERLINK("https://www.echobox.com","Echobox Social")</f>
        <v>Echobox Social</v>
      </c>
      <c r="L829" s="13">
        <v>87230</v>
      </c>
      <c r="M829" s="13">
        <v>136</v>
      </c>
      <c r="N829" s="13">
        <v>649</v>
      </c>
      <c r="O829" s="18" t="s">
        <v>41</v>
      </c>
      <c r="P829" s="6">
        <v>42412.515844907408</v>
      </c>
      <c r="Q829" s="12"/>
      <c r="R829" s="17" t="s">
        <v>1822</v>
      </c>
      <c r="S829" s="11" t="s">
        <v>1823</v>
      </c>
      <c r="T829" s="12"/>
      <c r="U829" s="10" t="str">
        <f>HYPERLINK("https://pbs.twimg.com/profile_images/698106393526722560/hA9Itqr5.jpg","View")</f>
        <v>View</v>
      </c>
    </row>
    <row r="830" spans="1:21" ht="20.399999999999999">
      <c r="A830" s="6">
        <v>43441.771041666667</v>
      </c>
      <c r="B830" s="7" t="str">
        <f>HYPERLINK("https://twitter.com/Broquil1","@Broquil1")</f>
        <v>@Broquil1</v>
      </c>
      <c r="C830" s="8" t="s">
        <v>3241</v>
      </c>
      <c r="D830" s="9" t="s">
        <v>3242</v>
      </c>
      <c r="E830" s="10" t="str">
        <f>HYPERLINK("https://twitter.com/Broquil1/status/1071094561592803328","1071094561592803328")</f>
        <v>1071094561592803328</v>
      </c>
      <c r="F830" s="12"/>
      <c r="G830" s="12"/>
      <c r="H830" s="12"/>
      <c r="I830" s="13">
        <v>0</v>
      </c>
      <c r="J830" s="13">
        <v>5</v>
      </c>
      <c r="K830" s="14" t="str">
        <f>HYPERLINK("http://twitter.com","Twitter Web Client")</f>
        <v>Twitter Web Client</v>
      </c>
      <c r="L830" s="13">
        <v>1257</v>
      </c>
      <c r="M830" s="13">
        <v>668</v>
      </c>
      <c r="N830" s="13">
        <v>6</v>
      </c>
      <c r="O830" s="15"/>
      <c r="P830" s="6">
        <v>43069.016875000001</v>
      </c>
      <c r="Q830" s="12"/>
      <c r="R830" s="19"/>
      <c r="S830" s="12"/>
      <c r="T830" s="12"/>
      <c r="U830" s="10" t="str">
        <f>HYPERLINK("https://pbs.twimg.com/profile_images/937131171959443457/4aatx90U.jpg","View")</f>
        <v>View</v>
      </c>
    </row>
    <row r="831" spans="1:21" ht="40.799999999999997">
      <c r="A831" s="6">
        <v>43441.769907407404</v>
      </c>
      <c r="B831" s="7" t="str">
        <f>HYPERLINK("https://twitter.com/Marcos_Campillo","@Marcos_Campillo")</f>
        <v>@Marcos_Campillo</v>
      </c>
      <c r="C831" s="8" t="s">
        <v>3243</v>
      </c>
      <c r="D831" s="9" t="s">
        <v>3244</v>
      </c>
      <c r="E831" s="10" t="str">
        <f>HYPERLINK("https://twitter.com/Marcos_Campillo/status/1071094150366420992","1071094150366420992")</f>
        <v>1071094150366420992</v>
      </c>
      <c r="F831" s="16" t="s">
        <v>3245</v>
      </c>
      <c r="G831" s="12"/>
      <c r="H831" s="12"/>
      <c r="I831" s="13">
        <v>0</v>
      </c>
      <c r="J831" s="13">
        <v>0</v>
      </c>
      <c r="K831" s="14" t="str">
        <f>HYPERLINK("http://twitter.com/download/android","Twitter for Android")</f>
        <v>Twitter for Android</v>
      </c>
      <c r="L831" s="13">
        <v>38</v>
      </c>
      <c r="M831" s="13">
        <v>265</v>
      </c>
      <c r="N831" s="13">
        <v>0</v>
      </c>
      <c r="O831" s="15"/>
      <c r="P831" s="6">
        <v>42676.623032407406</v>
      </c>
      <c r="Q831" s="16" t="s">
        <v>767</v>
      </c>
      <c r="R831" s="17" t="s">
        <v>3246</v>
      </c>
      <c r="S831" s="11" t="s">
        <v>3247</v>
      </c>
      <c r="T831" s="12"/>
      <c r="U831" s="10" t="str">
        <f>HYPERLINK("https://pbs.twimg.com/profile_images/1064237386824118272/6fQtnbhq.jpg","View")</f>
        <v>View</v>
      </c>
    </row>
    <row r="832" spans="1:21" ht="20.399999999999999">
      <c r="A832" s="6">
        <v>43441.769490740742</v>
      </c>
      <c r="B832" s="7" t="str">
        <f>HYPERLINK("https://twitter.com/Cupcakes_News","@Cupcakes_News")</f>
        <v>@Cupcakes_News</v>
      </c>
      <c r="C832" s="8" t="s">
        <v>3248</v>
      </c>
      <c r="D832" s="9" t="s">
        <v>714</v>
      </c>
      <c r="E832" s="10" t="str">
        <f>HYPERLINK("https://twitter.com/Cupcakes_News/status/1071094001229549568","1071094001229549568")</f>
        <v>1071094001229549568</v>
      </c>
      <c r="F832" s="11" t="s">
        <v>715</v>
      </c>
      <c r="G832" s="11" t="s">
        <v>3249</v>
      </c>
      <c r="H832" s="12"/>
      <c r="I832" s="13">
        <v>0</v>
      </c>
      <c r="J832" s="13">
        <v>0</v>
      </c>
      <c r="K832" s="14" t="str">
        <f>HYPERLINK("http://epmundo.com","Tuiteo TOP EP (3)")</f>
        <v>Tuiteo TOP EP (3)</v>
      </c>
      <c r="L832" s="13">
        <v>44509</v>
      </c>
      <c r="M832" s="13">
        <v>45277</v>
      </c>
      <c r="N832" s="13">
        <v>120</v>
      </c>
      <c r="O832" s="15"/>
      <c r="P832" s="6">
        <v>42165.118518518517</v>
      </c>
      <c r="Q832" s="12"/>
      <c r="R832" s="17" t="s">
        <v>3250</v>
      </c>
      <c r="S832" s="12"/>
      <c r="T832" s="12"/>
      <c r="U832" s="10" t="str">
        <f>HYPERLINK("https://pbs.twimg.com/profile_images/913075190007025665/Ia12CA8o.jpg","View")</f>
        <v>View</v>
      </c>
    </row>
    <row r="833" spans="1:21" ht="30.6">
      <c r="A833" s="6">
        <v>43441.768020833333</v>
      </c>
      <c r="B833" s="7" t="str">
        <f>HYPERLINK("https://twitter.com/veteranoslinar1","@veteranoslinar1")</f>
        <v>@veteranoslinar1</v>
      </c>
      <c r="C833" s="8" t="s">
        <v>3251</v>
      </c>
      <c r="D833" s="9" t="s">
        <v>3252</v>
      </c>
      <c r="E833" s="10" t="str">
        <f>HYPERLINK("https://twitter.com/veteranoslinar1/status/1071093466967523328","1071093466967523328")</f>
        <v>1071093466967523328</v>
      </c>
      <c r="F833" s="12"/>
      <c r="G833" s="12"/>
      <c r="H833" s="12"/>
      <c r="I833" s="13">
        <v>4</v>
      </c>
      <c r="J833" s="13">
        <v>9</v>
      </c>
      <c r="K833" s="14" t="str">
        <f>HYPERLINK("http://twitter.com/download/android","Twitter for Android")</f>
        <v>Twitter for Android</v>
      </c>
      <c r="L833" s="13">
        <v>266</v>
      </c>
      <c r="M833" s="13">
        <v>38</v>
      </c>
      <c r="N833" s="13">
        <v>1</v>
      </c>
      <c r="O833" s="15"/>
      <c r="P833" s="6">
        <v>42313.858217592591</v>
      </c>
      <c r="Q833" s="16" t="s">
        <v>3253</v>
      </c>
      <c r="R833" s="17" t="s">
        <v>3254</v>
      </c>
      <c r="S833" s="12"/>
      <c r="T833" s="12"/>
      <c r="U833" s="10" t="str">
        <f>HYPERLINK("https://pbs.twimg.com/profile_images/843593582774812673/V2ou896O.jpg","View")</f>
        <v>View</v>
      </c>
    </row>
    <row r="834" spans="1:21" ht="20.399999999999999">
      <c r="A834" s="6">
        <v>43441.766898148147</v>
      </c>
      <c r="B834" s="7" t="str">
        <f>HYPERLINK("https://twitter.com/Intrinseco_news","@Intrinseco_news")</f>
        <v>@Intrinseco_news</v>
      </c>
      <c r="C834" s="8" t="s">
        <v>3255</v>
      </c>
      <c r="D834" s="9" t="s">
        <v>3256</v>
      </c>
      <c r="E834" s="10" t="str">
        <f>HYPERLINK("https://twitter.com/Intrinseco_news/status/1071093062254936065","1071093062254936065")</f>
        <v>1071093062254936065</v>
      </c>
      <c r="F834" s="11" t="s">
        <v>3257</v>
      </c>
      <c r="G834" s="11" t="s">
        <v>3258</v>
      </c>
      <c r="H834" s="12"/>
      <c r="I834" s="13">
        <v>0</v>
      </c>
      <c r="J834" s="13">
        <v>0</v>
      </c>
      <c r="K834" s="14" t="str">
        <f t="shared" ref="K834:K836" si="144">HYPERLINK("http://twitter.com","Twitter Web Client")</f>
        <v>Twitter Web Client</v>
      </c>
      <c r="L834" s="13">
        <v>1431</v>
      </c>
      <c r="M834" s="13">
        <v>2303</v>
      </c>
      <c r="N834" s="13">
        <v>3</v>
      </c>
      <c r="O834" s="15"/>
      <c r="P834" s="6">
        <v>42282.919374999998</v>
      </c>
      <c r="Q834" s="16" t="s">
        <v>60</v>
      </c>
      <c r="R834" s="17" t="s">
        <v>3259</v>
      </c>
      <c r="S834" s="12"/>
      <c r="T834" s="12"/>
      <c r="U834" s="10" t="str">
        <f>HYPERLINK("https://pbs.twimg.com/profile_images/985826809467035648/N8qKaRFd.jpg","View")</f>
        <v>View</v>
      </c>
    </row>
    <row r="835" spans="1:21" ht="13.2">
      <c r="A835" s="6">
        <v>43441.766238425931</v>
      </c>
      <c r="B835" s="7" t="str">
        <f>HYPERLINK("https://twitter.com/Pedazosol","@Pedazosol")</f>
        <v>@Pedazosol</v>
      </c>
      <c r="C835" s="8" t="s">
        <v>3260</v>
      </c>
      <c r="D835" s="9" t="s">
        <v>1175</v>
      </c>
      <c r="E835" s="10" t="str">
        <f>HYPERLINK("https://twitter.com/Pedazosol/status/1071092822105841665","1071092822105841665")</f>
        <v>1071092822105841665</v>
      </c>
      <c r="F835" s="11" t="s">
        <v>1176</v>
      </c>
      <c r="G835" s="12"/>
      <c r="H835" s="12"/>
      <c r="I835" s="13">
        <v>1</v>
      </c>
      <c r="J835" s="13">
        <v>0</v>
      </c>
      <c r="K835" s="14" t="str">
        <f t="shared" si="144"/>
        <v>Twitter Web Client</v>
      </c>
      <c r="L835" s="13">
        <v>131</v>
      </c>
      <c r="M835" s="13">
        <v>153</v>
      </c>
      <c r="N835" s="13">
        <v>0</v>
      </c>
      <c r="O835" s="15"/>
      <c r="P835" s="6">
        <v>41594.965775462959</v>
      </c>
      <c r="Q835" s="12"/>
      <c r="R835" s="19"/>
      <c r="S835" s="12"/>
      <c r="T835" s="12"/>
      <c r="U835" s="10" t="str">
        <f>HYPERLINK("https://pbs.twimg.com/profile_images/1023711864147124224/peWuqde5.jpg","View")</f>
        <v>View</v>
      </c>
    </row>
    <row r="836" spans="1:21" ht="40.799999999999997">
      <c r="A836" s="6">
        <v>43441.764699074076</v>
      </c>
      <c r="B836" s="7" t="str">
        <f>HYPERLINK("https://twitter.com/JoseOrtizGa","@JoseOrtizGa")</f>
        <v>@JoseOrtizGa</v>
      </c>
      <c r="C836" s="8" t="s">
        <v>3261</v>
      </c>
      <c r="D836" s="9" t="s">
        <v>3262</v>
      </c>
      <c r="E836" s="10" t="str">
        <f>HYPERLINK("https://twitter.com/JoseOrtizGa/status/1071092265047724032","1071092265047724032")</f>
        <v>1071092265047724032</v>
      </c>
      <c r="F836" s="11" t="s">
        <v>432</v>
      </c>
      <c r="G836" s="12"/>
      <c r="H836" s="12"/>
      <c r="I836" s="13">
        <v>0</v>
      </c>
      <c r="J836" s="13">
        <v>1</v>
      </c>
      <c r="K836" s="14" t="str">
        <f t="shared" si="144"/>
        <v>Twitter Web Client</v>
      </c>
      <c r="L836" s="13">
        <v>260</v>
      </c>
      <c r="M836" s="13">
        <v>505</v>
      </c>
      <c r="N836" s="13">
        <v>1</v>
      </c>
      <c r="O836" s="15"/>
      <c r="P836" s="6">
        <v>42006.572418981479</v>
      </c>
      <c r="Q836" s="16" t="s">
        <v>60</v>
      </c>
      <c r="R836" s="17" t="s">
        <v>3263</v>
      </c>
      <c r="S836" s="12"/>
      <c r="T836" s="12"/>
      <c r="U836" s="10" t="str">
        <f>HYPERLINK("https://pbs.twimg.com/profile_images/1071349357520261120/WVEsHWK5.jpg","View")</f>
        <v>View</v>
      </c>
    </row>
    <row r="837" spans="1:21" ht="20.399999999999999">
      <c r="A837" s="6">
        <v>43441.763553240744</v>
      </c>
      <c r="B837" s="7" t="str">
        <f>HYPERLINK("https://twitter.com/doralfaro","@doralfaro")</f>
        <v>@doralfaro</v>
      </c>
      <c r="C837" s="8" t="s">
        <v>3264</v>
      </c>
      <c r="D837" s="9" t="s">
        <v>3265</v>
      </c>
      <c r="E837" s="10" t="str">
        <f>HYPERLINK("https://twitter.com/doralfaro/status/1071091848234586118","1071091848234586118")</f>
        <v>1071091848234586118</v>
      </c>
      <c r="F837" s="11" t="s">
        <v>3266</v>
      </c>
      <c r="G837" s="12"/>
      <c r="H837" s="12"/>
      <c r="I837" s="13">
        <v>0</v>
      </c>
      <c r="J837" s="13">
        <v>0</v>
      </c>
      <c r="K837" s="14" t="str">
        <f>HYPERLINK("http://twitter.com/#!/download/ipad","Twitter for iPad")</f>
        <v>Twitter for iPad</v>
      </c>
      <c r="L837" s="13">
        <v>124</v>
      </c>
      <c r="M837" s="13">
        <v>203</v>
      </c>
      <c r="N837" s="13">
        <v>5</v>
      </c>
      <c r="O837" s="15"/>
      <c r="P837" s="6">
        <v>41030.714467592596</v>
      </c>
      <c r="Q837" s="16" t="s">
        <v>3267</v>
      </c>
      <c r="R837" s="17" t="s">
        <v>3268</v>
      </c>
      <c r="S837" s="12"/>
      <c r="T837" s="12"/>
      <c r="U837" s="10" t="str">
        <f>HYPERLINK("https://pbs.twimg.com/profile_images/534753831574196224/G6f1J-6m.jpeg","View")</f>
        <v>View</v>
      </c>
    </row>
    <row r="838" spans="1:21" ht="30.6">
      <c r="A838" s="6">
        <v>43441.76185185185</v>
      </c>
      <c r="B838" s="7" t="str">
        <f>HYPERLINK("https://twitter.com/reneyaye","@reneyaye")</f>
        <v>@reneyaye</v>
      </c>
      <c r="C838" s="8" t="s">
        <v>3269</v>
      </c>
      <c r="D838" s="9" t="s">
        <v>3270</v>
      </c>
      <c r="E838" s="10" t="str">
        <f>HYPERLINK("https://twitter.com/reneyaye/status/1071091235002167296","1071091235002167296")</f>
        <v>1071091235002167296</v>
      </c>
      <c r="F838" s="16" t="s">
        <v>3271</v>
      </c>
      <c r="G838" s="12"/>
      <c r="H838" s="12"/>
      <c r="I838" s="13">
        <v>0</v>
      </c>
      <c r="J838" s="13">
        <v>0</v>
      </c>
      <c r="K838" s="14" t="str">
        <f>HYPERLINK("http://twitter.com/download/android","Twitter for Android")</f>
        <v>Twitter for Android</v>
      </c>
      <c r="L838" s="13">
        <v>59</v>
      </c>
      <c r="M838" s="13">
        <v>141</v>
      </c>
      <c r="N838" s="13">
        <v>1</v>
      </c>
      <c r="O838" s="15"/>
      <c r="P838" s="6">
        <v>40674.942604166667</v>
      </c>
      <c r="Q838" s="16" t="s">
        <v>3272</v>
      </c>
      <c r="R838" s="17" t="s">
        <v>3273</v>
      </c>
      <c r="S838" s="12"/>
      <c r="T838" s="12"/>
      <c r="U838" s="10" t="str">
        <f>HYPERLINK("https://pbs.twimg.com/profile_images/433334917418598400/9tMV38UZ.jpeg","View")</f>
        <v>View</v>
      </c>
    </row>
    <row r="839" spans="1:21" ht="20.399999999999999">
      <c r="A839" s="6">
        <v>43441.761759259258</v>
      </c>
      <c r="B839" s="7" t="str">
        <f>HYPERLINK("https://twitter.com/JFDIAZDIAZ","@JFDIAZDIAZ")</f>
        <v>@JFDIAZDIAZ</v>
      </c>
      <c r="C839" s="8" t="s">
        <v>3274</v>
      </c>
      <c r="D839" s="9" t="s">
        <v>1175</v>
      </c>
      <c r="E839" s="10" t="str">
        <f>HYPERLINK("https://twitter.com/JFDIAZDIAZ/status/1071091200038449152","1071091200038449152")</f>
        <v>1071091200038449152</v>
      </c>
      <c r="F839" s="11" t="s">
        <v>1176</v>
      </c>
      <c r="G839" s="12"/>
      <c r="H839" s="12"/>
      <c r="I839" s="13">
        <v>0</v>
      </c>
      <c r="J839" s="13">
        <v>0</v>
      </c>
      <c r="K839" s="14" t="str">
        <f>HYPERLINK("http://twitter.com/download/iphone","Twitter for iPhone")</f>
        <v>Twitter for iPhone</v>
      </c>
      <c r="L839" s="13">
        <v>1597</v>
      </c>
      <c r="M839" s="13">
        <v>1162</v>
      </c>
      <c r="N839" s="13">
        <v>31</v>
      </c>
      <c r="O839" s="15"/>
      <c r="P839" s="6">
        <v>40546.90185185185</v>
      </c>
      <c r="Q839" s="16" t="s">
        <v>325</v>
      </c>
      <c r="R839" s="17" t="s">
        <v>3275</v>
      </c>
      <c r="S839" s="11" t="s">
        <v>3276</v>
      </c>
      <c r="T839" s="12"/>
      <c r="U839" s="10" t="str">
        <f>HYPERLINK("https://pbs.twimg.com/profile_images/1062969297071415297/qSyw0hrA.jpg","View")</f>
        <v>View</v>
      </c>
    </row>
    <row r="840" spans="1:21" ht="40.799999999999997">
      <c r="A840" s="6">
        <v>43441.761284722219</v>
      </c>
      <c r="B840" s="7" t="str">
        <f>HYPERLINK("https://twitter.com/EduBongio","@EduBongio")</f>
        <v>@EduBongio</v>
      </c>
      <c r="C840" s="8" t="s">
        <v>1307</v>
      </c>
      <c r="D840" s="9" t="s">
        <v>1308</v>
      </c>
      <c r="E840" s="10" t="str">
        <f>HYPERLINK("https://twitter.com/EduBongio/status/1071091027858071552","1071091027858071552")</f>
        <v>1071091027858071552</v>
      </c>
      <c r="F840" s="11" t="s">
        <v>1309</v>
      </c>
      <c r="G840" s="12"/>
      <c r="H840" s="12"/>
      <c r="I840" s="13">
        <v>0</v>
      </c>
      <c r="J840" s="13">
        <v>0</v>
      </c>
      <c r="K840" s="14" t="str">
        <f t="shared" ref="K840:K842" si="145">HYPERLINK("http://twitter.com","Twitter Web Client")</f>
        <v>Twitter Web Client</v>
      </c>
      <c r="L840" s="13">
        <v>4538</v>
      </c>
      <c r="M840" s="13">
        <v>3904</v>
      </c>
      <c r="N840" s="13">
        <v>54</v>
      </c>
      <c r="O840" s="15"/>
      <c r="P840" s="6">
        <v>40345.132534722223</v>
      </c>
      <c r="Q840" s="16" t="s">
        <v>1310</v>
      </c>
      <c r="R840" s="17" t="s">
        <v>1311</v>
      </c>
      <c r="S840" s="12"/>
      <c r="T840" s="12"/>
      <c r="U840" s="10" t="str">
        <f>HYPERLINK("https://pbs.twimg.com/profile_images/378800000482739582/fc7648cd7d0276c2347a1fb6af8ac67e.png","View")</f>
        <v>View</v>
      </c>
    </row>
    <row r="841" spans="1:21" ht="30.6">
      <c r="A841" s="6">
        <v>43441.761064814811</v>
      </c>
      <c r="B841" s="7" t="str">
        <f>HYPERLINK("https://twitter.com/crealdigital","@crealdigital")</f>
        <v>@crealdigital</v>
      </c>
      <c r="C841" s="8" t="s">
        <v>991</v>
      </c>
      <c r="D841" s="9" t="s">
        <v>3277</v>
      </c>
      <c r="E841" s="10" t="str">
        <f>HYPERLINK("https://twitter.com/crealdigital/status/1071090948606697472","1071090948606697472")</f>
        <v>1071090948606697472</v>
      </c>
      <c r="F841" s="11" t="s">
        <v>3278</v>
      </c>
      <c r="G841" s="12"/>
      <c r="H841" s="12"/>
      <c r="I841" s="13">
        <v>0</v>
      </c>
      <c r="J841" s="13">
        <v>0</v>
      </c>
      <c r="K841" s="14" t="str">
        <f t="shared" si="145"/>
        <v>Twitter Web Client</v>
      </c>
      <c r="L841" s="13">
        <v>3019</v>
      </c>
      <c r="M841" s="13">
        <v>4871</v>
      </c>
      <c r="N841" s="13">
        <v>37</v>
      </c>
      <c r="O841" s="15"/>
      <c r="P841" s="6">
        <v>41330.777569444443</v>
      </c>
      <c r="Q841" s="12"/>
      <c r="R841" s="17" t="s">
        <v>994</v>
      </c>
      <c r="S841" s="11" t="s">
        <v>995</v>
      </c>
      <c r="T841" s="12"/>
      <c r="U841" s="10" t="str">
        <f>HYPERLINK("https://pbs.twimg.com/profile_images/672117474968666113/rQhZVp46.jpg","View")</f>
        <v>View</v>
      </c>
    </row>
    <row r="842" spans="1:21" ht="51">
      <c r="A842" s="6">
        <v>43441.760162037041</v>
      </c>
      <c r="B842" s="7" t="str">
        <f>HYPERLINK("https://twitter.com/eddyleyba1","@eddyleyba1")</f>
        <v>@eddyleyba1</v>
      </c>
      <c r="C842" s="8" t="s">
        <v>3279</v>
      </c>
      <c r="D842" s="9" t="s">
        <v>3280</v>
      </c>
      <c r="E842" s="10" t="str">
        <f>HYPERLINK("https://twitter.com/eddyleyba1/status/1071090620918308865","1071090620918308865")</f>
        <v>1071090620918308865</v>
      </c>
      <c r="F842" s="12"/>
      <c r="G842" s="12"/>
      <c r="H842" s="12"/>
      <c r="I842" s="13">
        <v>17</v>
      </c>
      <c r="J842" s="13">
        <v>16</v>
      </c>
      <c r="K842" s="14" t="str">
        <f t="shared" si="145"/>
        <v>Twitter Web Client</v>
      </c>
      <c r="L842" s="13">
        <v>4890</v>
      </c>
      <c r="M842" s="13">
        <v>2262</v>
      </c>
      <c r="N842" s="13">
        <v>14</v>
      </c>
      <c r="O842" s="15"/>
      <c r="P842" s="6">
        <v>41492.722719907411</v>
      </c>
      <c r="Q842" s="16" t="s">
        <v>3281</v>
      </c>
      <c r="R842" s="17" t="s">
        <v>3282</v>
      </c>
      <c r="S842" s="12"/>
      <c r="T842" s="12"/>
      <c r="U842" s="10" t="str">
        <f>HYPERLINK("https://pbs.twimg.com/profile_images/518783743616495616/QZjq9ae7.jpeg","View")</f>
        <v>View</v>
      </c>
    </row>
    <row r="843" spans="1:21" ht="40.799999999999997">
      <c r="A843" s="6">
        <v>43441.75508101852</v>
      </c>
      <c r="B843" s="7" t="str">
        <f>HYPERLINK("https://twitter.com/Tempus_Wasabi","@Tempus_Wasabi")</f>
        <v>@Tempus_Wasabi</v>
      </c>
      <c r="C843" s="8" t="s">
        <v>3283</v>
      </c>
      <c r="D843" s="9" t="s">
        <v>2092</v>
      </c>
      <c r="E843" s="10" t="str">
        <f>HYPERLINK("https://twitter.com/Tempus_Wasabi/status/1071088779769843712","1071088779769843712")</f>
        <v>1071088779769843712</v>
      </c>
      <c r="F843" s="11" t="s">
        <v>3284</v>
      </c>
      <c r="G843" s="12"/>
      <c r="H843" s="12"/>
      <c r="I843" s="13">
        <v>0</v>
      </c>
      <c r="J843" s="13">
        <v>0</v>
      </c>
      <c r="K843" s="14" t="str">
        <f>HYPERLINK("https://ifttt.com","IFTTT")</f>
        <v>IFTTT</v>
      </c>
      <c r="L843" s="13">
        <v>524</v>
      </c>
      <c r="M843" s="13">
        <v>1909</v>
      </c>
      <c r="N843" s="13">
        <v>2</v>
      </c>
      <c r="O843" s="15"/>
      <c r="P843" s="6">
        <v>42861.511388888888</v>
      </c>
      <c r="Q843" s="16" t="s">
        <v>3285</v>
      </c>
      <c r="R843" s="17" t="s">
        <v>3286</v>
      </c>
      <c r="S843" s="12"/>
      <c r="T843" s="12"/>
      <c r="U843" s="10" t="str">
        <f>HYPERLINK("https://pbs.twimg.com/profile_images/860801881051996162/uysndfmN.jpg","View")</f>
        <v>View</v>
      </c>
    </row>
    <row r="844" spans="1:21" ht="40.799999999999997">
      <c r="A844" s="6">
        <v>43441.753622685181</v>
      </c>
      <c r="B844" s="7" t="str">
        <f>HYPERLINK("https://twitter.com/Newtral","@Newtral")</f>
        <v>@Newtral</v>
      </c>
      <c r="C844" s="8" t="s">
        <v>1100</v>
      </c>
      <c r="D844" s="9" t="s">
        <v>3287</v>
      </c>
      <c r="E844" s="10" t="str">
        <f>HYPERLINK("https://twitter.com/Newtral/status/1071088251144945664","1071088251144945664")</f>
        <v>1071088251144945664</v>
      </c>
      <c r="F844" s="11" t="s">
        <v>3288</v>
      </c>
      <c r="G844" s="11" t="s">
        <v>3289</v>
      </c>
      <c r="H844" s="12"/>
      <c r="I844" s="13">
        <v>12</v>
      </c>
      <c r="J844" s="13">
        <v>14</v>
      </c>
      <c r="K844" s="14" t="str">
        <f>HYPERLINK("https://buffer.com","Buffer")</f>
        <v>Buffer</v>
      </c>
      <c r="L844" s="13">
        <v>32290</v>
      </c>
      <c r="M844" s="13">
        <v>65</v>
      </c>
      <c r="N844" s="13">
        <v>245</v>
      </c>
      <c r="O844" s="18" t="s">
        <v>41</v>
      </c>
      <c r="P844" s="6">
        <v>43004.852858796294</v>
      </c>
      <c r="Q844" s="12"/>
      <c r="R844" s="17" t="s">
        <v>1104</v>
      </c>
      <c r="S844" s="11" t="s">
        <v>1105</v>
      </c>
      <c r="T844" s="12"/>
      <c r="U844" s="10" t="str">
        <f>HYPERLINK("https://pbs.twimg.com/profile_images/1066953857039810560/ZlbiMZII.jpg","View")</f>
        <v>View</v>
      </c>
    </row>
    <row r="845" spans="1:21" ht="51">
      <c r="A845" s="6">
        <v>43441.753460648149</v>
      </c>
      <c r="B845" s="7" t="str">
        <f>HYPERLINK("https://twitter.com/CiudadanosCs","@CiudadanosCs")</f>
        <v>@CiudadanosCs</v>
      </c>
      <c r="C845" s="8" t="s">
        <v>3290</v>
      </c>
      <c r="D845" s="9" t="s">
        <v>3291</v>
      </c>
      <c r="E845" s="10" t="str">
        <f>HYPERLINK("https://twitter.com/CiudadanosCs/status/1071088190893649921","1071088190893649921")</f>
        <v>1071088190893649921</v>
      </c>
      <c r="F845" s="12"/>
      <c r="G845" s="11" t="s">
        <v>2755</v>
      </c>
      <c r="H845" s="12"/>
      <c r="I845" s="13">
        <v>180</v>
      </c>
      <c r="J845" s="13">
        <v>244</v>
      </c>
      <c r="K845" s="14" t="str">
        <f>HYPERLINK("http://twitter.com","Twitter Web Client")</f>
        <v>Twitter Web Client</v>
      </c>
      <c r="L845" s="13">
        <v>490827</v>
      </c>
      <c r="M845" s="13">
        <v>93557</v>
      </c>
      <c r="N845" s="13">
        <v>3338</v>
      </c>
      <c r="O845" s="18" t="s">
        <v>41</v>
      </c>
      <c r="P845" s="6">
        <v>39828.753460648149</v>
      </c>
      <c r="Q845" s="16" t="s">
        <v>60</v>
      </c>
      <c r="R845" s="17" t="s">
        <v>3292</v>
      </c>
      <c r="S845" s="11" t="s">
        <v>3293</v>
      </c>
      <c r="T845" s="12"/>
      <c r="U845" s="10" t="str">
        <f>HYPERLINK("https://pbs.twimg.com/profile_images/1053554096161075200/1z77_zBZ.jpg","View")</f>
        <v>View</v>
      </c>
    </row>
    <row r="846" spans="1:21" ht="40.799999999999997">
      <c r="A846" s="6">
        <v>43441.752928240741</v>
      </c>
      <c r="B846" s="7" t="str">
        <f>HYPERLINK("https://twitter.com/j_a_serrano","@j_a_serrano")</f>
        <v>@j_a_serrano</v>
      </c>
      <c r="C846" s="8" t="s">
        <v>3294</v>
      </c>
      <c r="D846" s="9" t="s">
        <v>3295</v>
      </c>
      <c r="E846" s="10" t="str">
        <f>HYPERLINK("https://twitter.com/j_a_serrano/status/1071088000115924992","1071088000115924992")</f>
        <v>1071088000115924992</v>
      </c>
      <c r="F846" s="11" t="s">
        <v>2938</v>
      </c>
      <c r="G846" s="12"/>
      <c r="H846" s="12"/>
      <c r="I846" s="13">
        <v>0</v>
      </c>
      <c r="J846" s="13">
        <v>0</v>
      </c>
      <c r="K846" s="14" t="str">
        <f>HYPERLINK("http://twitter.com/download/android","Twitter for Android")</f>
        <v>Twitter for Android</v>
      </c>
      <c r="L846" s="13">
        <v>795</v>
      </c>
      <c r="M846" s="13">
        <v>467</v>
      </c>
      <c r="N846" s="13">
        <v>160</v>
      </c>
      <c r="O846" s="15"/>
      <c r="P846" s="6">
        <v>40157.779293981483</v>
      </c>
      <c r="Q846" s="16" t="s">
        <v>3296</v>
      </c>
      <c r="R846" s="17" t="s">
        <v>3297</v>
      </c>
      <c r="S846" s="11" t="s">
        <v>3298</v>
      </c>
      <c r="T846" s="12"/>
      <c r="U846" s="10" t="str">
        <f>HYPERLINK("https://pbs.twimg.com/profile_images/881228375939047424/Sg4a1AeE.jpg","View")</f>
        <v>View</v>
      </c>
    </row>
    <row r="847" spans="1:21" ht="40.799999999999997">
      <c r="A847" s="6">
        <v>43441.750381944439</v>
      </c>
      <c r="B847" s="7" t="str">
        <f>HYPERLINK("https://twitter.com/jaimedeolano","@jaimedeolano")</f>
        <v>@jaimedeolano</v>
      </c>
      <c r="C847" s="8" t="s">
        <v>3299</v>
      </c>
      <c r="D847" s="9" t="s">
        <v>3300</v>
      </c>
      <c r="E847" s="10" t="str">
        <f>HYPERLINK("https://twitter.com/jaimedeolano/status/1071087075867410433","1071087075867410433")</f>
        <v>1071087075867410433</v>
      </c>
      <c r="F847" s="12"/>
      <c r="G847" s="11" t="s">
        <v>3301</v>
      </c>
      <c r="H847" s="12"/>
      <c r="I847" s="13">
        <v>291</v>
      </c>
      <c r="J847" s="13">
        <v>398</v>
      </c>
      <c r="K847" s="14" t="str">
        <f>HYPERLINK("http://twitter.com/download/iphone","Twitter for iPhone")</f>
        <v>Twitter for iPhone</v>
      </c>
      <c r="L847" s="13">
        <v>8041</v>
      </c>
      <c r="M847" s="13">
        <v>1149</v>
      </c>
      <c r="N847" s="13">
        <v>172</v>
      </c>
      <c r="O847" s="18" t="s">
        <v>41</v>
      </c>
      <c r="P847" s="6">
        <v>41487.428113425922</v>
      </c>
      <c r="Q847" s="12"/>
      <c r="R847" s="17" t="s">
        <v>3302</v>
      </c>
      <c r="S847" s="11" t="s">
        <v>3303</v>
      </c>
      <c r="T847" s="12"/>
      <c r="U847" s="10" t="str">
        <f>HYPERLINK("https://pbs.twimg.com/profile_images/994454755064926208/Okc41fu_.jpg","View")</f>
        <v>View</v>
      </c>
    </row>
    <row r="848" spans="1:21" ht="20.399999999999999">
      <c r="A848" s="6">
        <v>43441.749849537038</v>
      </c>
      <c r="B848" s="7" t="str">
        <f>HYPERLINK("https://twitter.com/NacionalAlerta","@NacionalAlerta")</f>
        <v>@NacionalAlerta</v>
      </c>
      <c r="C848" s="8" t="s">
        <v>3304</v>
      </c>
      <c r="D848" s="9" t="s">
        <v>3305</v>
      </c>
      <c r="E848" s="10" t="str">
        <f>HYPERLINK("https://twitter.com/NacionalAlerta/status/1071086882996531200","1071086882996531200")</f>
        <v>1071086882996531200</v>
      </c>
      <c r="F848" s="11" t="s">
        <v>3306</v>
      </c>
      <c r="G848" s="11" t="s">
        <v>3307</v>
      </c>
      <c r="H848" s="12"/>
      <c r="I848" s="13">
        <v>0</v>
      </c>
      <c r="J848" s="13">
        <v>0</v>
      </c>
      <c r="K848" s="14" t="str">
        <f>HYPERLINK("http://publicize.wp.com/","WordPress.com")</f>
        <v>WordPress.com</v>
      </c>
      <c r="L848" s="13">
        <v>75</v>
      </c>
      <c r="M848" s="13">
        <v>27</v>
      </c>
      <c r="N848" s="13">
        <v>2</v>
      </c>
      <c r="O848" s="15"/>
      <c r="P848" s="6">
        <v>43361.719618055555</v>
      </c>
      <c r="Q848" s="16" t="s">
        <v>60</v>
      </c>
      <c r="R848" s="19"/>
      <c r="S848" s="11" t="s">
        <v>3308</v>
      </c>
      <c r="T848" s="12"/>
      <c r="U848" s="10" t="str">
        <f>HYPERLINK("https://pbs.twimg.com/profile_images/1042072480435847169/mB0J8NN0.jpg","View")</f>
        <v>View</v>
      </c>
    </row>
    <row r="849" spans="1:21" ht="20.399999999999999">
      <c r="A849" s="6">
        <v>43441.749745370369</v>
      </c>
      <c r="B849" s="7" t="str">
        <f>HYPERLINK("https://twitter.com/vicbaguer","@vicbaguer")</f>
        <v>@vicbaguer</v>
      </c>
      <c r="C849" s="8" t="s">
        <v>2894</v>
      </c>
      <c r="D849" s="9" t="s">
        <v>1175</v>
      </c>
      <c r="E849" s="10" t="str">
        <f>HYPERLINK("https://twitter.com/vicbaguer/status/1071086844677423104","1071086844677423104")</f>
        <v>1071086844677423104</v>
      </c>
      <c r="F849" s="11" t="s">
        <v>1176</v>
      </c>
      <c r="G849" s="12"/>
      <c r="H849" s="12"/>
      <c r="I849" s="13">
        <v>1</v>
      </c>
      <c r="J849" s="13">
        <v>1</v>
      </c>
      <c r="K849" s="14" t="str">
        <f>HYPERLINK("http://twitter.com/download/android","Twitter for Android")</f>
        <v>Twitter for Android</v>
      </c>
      <c r="L849" s="13">
        <v>562</v>
      </c>
      <c r="M849" s="13">
        <v>612</v>
      </c>
      <c r="N849" s="13">
        <v>4</v>
      </c>
      <c r="O849" s="15"/>
      <c r="P849" s="6">
        <v>43025.954618055555</v>
      </c>
      <c r="Q849" s="16" t="s">
        <v>2895</v>
      </c>
      <c r="R849" s="17" t="s">
        <v>2896</v>
      </c>
      <c r="S849" s="12"/>
      <c r="T849" s="12"/>
      <c r="U849" s="10" t="str">
        <f>HYPERLINK("https://pbs.twimg.com/profile_images/998625983434391552/zMQe5s7O.jpg","View")</f>
        <v>View</v>
      </c>
    </row>
    <row r="850" spans="1:21" ht="40.799999999999997">
      <c r="A850" s="6">
        <v>43441.747534722221</v>
      </c>
      <c r="B850" s="7" t="str">
        <f>HYPERLINK("https://twitter.com/sergio_redondo","@sergio_redondo")</f>
        <v>@sergio_redondo</v>
      </c>
      <c r="C850" s="8" t="s">
        <v>3309</v>
      </c>
      <c r="D850" s="9" t="s">
        <v>3310</v>
      </c>
      <c r="E850" s="10" t="str">
        <f>HYPERLINK("https://twitter.com/sergio_redondo/status/1071086043867303936","1071086043867303936")</f>
        <v>1071086043867303936</v>
      </c>
      <c r="F850" s="12"/>
      <c r="G850" s="12"/>
      <c r="H850" s="12"/>
      <c r="I850" s="13">
        <v>0</v>
      </c>
      <c r="J850" s="13">
        <v>2</v>
      </c>
      <c r="K850" s="14" t="str">
        <f>HYPERLINK("https://mobile.twitter.com","Twitter Lite")</f>
        <v>Twitter Lite</v>
      </c>
      <c r="L850" s="13">
        <v>3455</v>
      </c>
      <c r="M850" s="13">
        <v>2415</v>
      </c>
      <c r="N850" s="13">
        <v>324</v>
      </c>
      <c r="O850" s="15"/>
      <c r="P850" s="6">
        <v>40523.985115740739</v>
      </c>
      <c r="Q850" s="16" t="s">
        <v>3311</v>
      </c>
      <c r="R850" s="17" t="s">
        <v>3312</v>
      </c>
      <c r="S850" s="11" t="s">
        <v>3313</v>
      </c>
      <c r="T850" s="12"/>
      <c r="U850" s="10" t="str">
        <f>HYPERLINK("https://pbs.twimg.com/profile_images/1004761495220211713/UBQ0RiIL.jpg","View")</f>
        <v>View</v>
      </c>
    </row>
    <row r="851" spans="1:21" ht="51">
      <c r="A851" s="6">
        <v>43441.747094907405</v>
      </c>
      <c r="B851" s="7" t="str">
        <f>HYPERLINK("https://twitter.com/caval100","@caval100")</f>
        <v>@caval100</v>
      </c>
      <c r="C851" s="8" t="s">
        <v>501</v>
      </c>
      <c r="D851" s="9" t="s">
        <v>3314</v>
      </c>
      <c r="E851" s="10" t="str">
        <f>HYPERLINK("https://twitter.com/caval100/status/1071085883946885122","1071085883946885122")</f>
        <v>1071085883946885122</v>
      </c>
      <c r="F851" s="11" t="s">
        <v>3315</v>
      </c>
      <c r="G851" s="12"/>
      <c r="H851" s="12"/>
      <c r="I851" s="13">
        <v>0</v>
      </c>
      <c r="J851" s="13">
        <v>0</v>
      </c>
      <c r="K851" s="14" t="str">
        <f t="shared" ref="K851:K852" si="146">HYPERLINK("http://twitter.com","Twitter Web Client")</f>
        <v>Twitter Web Client</v>
      </c>
      <c r="L851" s="13">
        <v>119343</v>
      </c>
      <c r="M851" s="13">
        <v>94000</v>
      </c>
      <c r="N851" s="13">
        <v>982</v>
      </c>
      <c r="O851" s="15"/>
      <c r="P851" s="6">
        <v>40079.437094907407</v>
      </c>
      <c r="Q851" s="16" t="s">
        <v>505</v>
      </c>
      <c r="R851" s="17" t="s">
        <v>506</v>
      </c>
      <c r="S851" s="11" t="s">
        <v>507</v>
      </c>
      <c r="T851" s="12"/>
      <c r="U851" s="10" t="str">
        <f>HYPERLINK("https://pbs.twimg.com/profile_images/965350678301429760/uvGI7g8U.jpg","View")</f>
        <v>View</v>
      </c>
    </row>
    <row r="852" spans="1:21" ht="20.399999999999999">
      <c r="A852" s="6">
        <v>43441.745879629627</v>
      </c>
      <c r="B852" s="7" t="str">
        <f>HYPERLINK("https://twitter.com/SALE550","@SALE550")</f>
        <v>@SALE550</v>
      </c>
      <c r="C852" s="8" t="s">
        <v>3316</v>
      </c>
      <c r="D852" s="9" t="s">
        <v>3317</v>
      </c>
      <c r="E852" s="10" t="str">
        <f>HYPERLINK("https://twitter.com/SALE550/status/1071085445482799104","1071085445482799104")</f>
        <v>1071085445482799104</v>
      </c>
      <c r="F852" s="11" t="s">
        <v>3318</v>
      </c>
      <c r="G852" s="12"/>
      <c r="H852" s="12"/>
      <c r="I852" s="13">
        <v>0</v>
      </c>
      <c r="J852" s="13">
        <v>0</v>
      </c>
      <c r="K852" s="14" t="str">
        <f t="shared" si="146"/>
        <v>Twitter Web Client</v>
      </c>
      <c r="L852" s="13">
        <v>92</v>
      </c>
      <c r="M852" s="13">
        <v>491</v>
      </c>
      <c r="N852" s="13">
        <v>3</v>
      </c>
      <c r="O852" s="15"/>
      <c r="P852" s="6">
        <v>40501.330335648148</v>
      </c>
      <c r="Q852" s="16" t="s">
        <v>3319</v>
      </c>
      <c r="R852" s="17" t="s">
        <v>3320</v>
      </c>
      <c r="S852" s="12"/>
      <c r="T852" s="12"/>
      <c r="U852" s="10" t="str">
        <f>HYPERLINK("https://pbs.twimg.com/profile_images/2292818647/678cuyarak43yyoyr9vu.jpeg","View")</f>
        <v>View</v>
      </c>
    </row>
    <row r="853" spans="1:21" ht="40.799999999999997">
      <c r="A853" s="6">
        <v>43441.74491898148</v>
      </c>
      <c r="B853" s="7" t="str">
        <f>HYPERLINK("https://twitter.com/JuanLuisBau","@JuanLuisBau")</f>
        <v>@JuanLuisBau</v>
      </c>
      <c r="C853" s="8" t="s">
        <v>3321</v>
      </c>
      <c r="D853" s="9" t="s">
        <v>3322</v>
      </c>
      <c r="E853" s="10" t="str">
        <f>HYPERLINK("https://twitter.com/JuanLuisBau/status/1071085098274050048","1071085098274050048")</f>
        <v>1071085098274050048</v>
      </c>
      <c r="F853" s="11" t="s">
        <v>3323</v>
      </c>
      <c r="G853" s="12"/>
      <c r="H853" s="12"/>
      <c r="I853" s="13">
        <v>0</v>
      </c>
      <c r="J853" s="13">
        <v>0</v>
      </c>
      <c r="K853" s="14" t="str">
        <f>HYPERLINK("http://www.facebook.com/twitter","Facebook")</f>
        <v>Facebook</v>
      </c>
      <c r="L853" s="13">
        <v>77</v>
      </c>
      <c r="M853" s="13">
        <v>176</v>
      </c>
      <c r="N853" s="13">
        <v>0</v>
      </c>
      <c r="O853" s="15"/>
      <c r="P853" s="6">
        <v>42832.392430555556</v>
      </c>
      <c r="Q853" s="16" t="s">
        <v>1073</v>
      </c>
      <c r="R853" s="17" t="s">
        <v>3324</v>
      </c>
      <c r="S853" s="12"/>
      <c r="T853" s="12"/>
      <c r="U853" s="10" t="str">
        <f>HYPERLINK("https://pbs.twimg.com/profile_images/873484324783484929/pZbpqKGu.jpg","View")</f>
        <v>View</v>
      </c>
    </row>
    <row r="854" spans="1:21" ht="13.2">
      <c r="A854" s="6">
        <v>43441.744351851856</v>
      </c>
      <c r="B854" s="7" t="str">
        <f>HYPERLINK("https://twitter.com/Belda1954","@Belda1954")</f>
        <v>@Belda1954</v>
      </c>
      <c r="C854" s="8" t="s">
        <v>3325</v>
      </c>
      <c r="D854" s="9" t="s">
        <v>2716</v>
      </c>
      <c r="E854" s="10" t="str">
        <f>HYPERLINK("https://twitter.com/Belda1954/status/1071084892505731074","1071084892505731074")</f>
        <v>1071084892505731074</v>
      </c>
      <c r="F854" s="11" t="s">
        <v>2717</v>
      </c>
      <c r="G854" s="12"/>
      <c r="H854" s="12"/>
      <c r="I854" s="13">
        <v>0</v>
      </c>
      <c r="J854" s="13">
        <v>0</v>
      </c>
      <c r="K854" s="14" t="str">
        <f>HYPERLINK("http://twitter.com","Twitter Web Client")</f>
        <v>Twitter Web Client</v>
      </c>
      <c r="L854" s="13">
        <v>340</v>
      </c>
      <c r="M854" s="13">
        <v>1035</v>
      </c>
      <c r="N854" s="13">
        <v>7</v>
      </c>
      <c r="O854" s="15"/>
      <c r="P854" s="6">
        <v>40445.780740740738</v>
      </c>
      <c r="Q854" s="16" t="s">
        <v>60</v>
      </c>
      <c r="R854" s="17" t="s">
        <v>3326</v>
      </c>
      <c r="S854" s="12"/>
      <c r="T854" s="12"/>
      <c r="U854" s="10" t="str">
        <f>HYPERLINK("https://pbs.twimg.com/profile_images/760042410126737408/0vT_CbAN.jpg","View")</f>
        <v>View</v>
      </c>
    </row>
    <row r="855" spans="1:21" ht="51">
      <c r="A855" s="6">
        <v>43441.743587962963</v>
      </c>
      <c r="B855" s="7" t="str">
        <f>HYPERLINK("https://twitter.com/EnriqueRuiz1978","@EnriqueRuiz1978")</f>
        <v>@EnriqueRuiz1978</v>
      </c>
      <c r="C855" s="8" t="s">
        <v>3327</v>
      </c>
      <c r="D855" s="9" t="s">
        <v>3328</v>
      </c>
      <c r="E855" s="10" t="str">
        <f>HYPERLINK("https://twitter.com/EnriqueRuiz1978/status/1071084614905708544","1071084614905708544")</f>
        <v>1071084614905708544</v>
      </c>
      <c r="F855" s="16" t="s">
        <v>3330</v>
      </c>
      <c r="G855" s="12"/>
      <c r="H855" s="12" t="str">
        <f>HYPERLINK("https://ctrlq.org/maps/address/#38.3909615,-0.5217948","Map")</f>
        <v>Map</v>
      </c>
      <c r="I855" s="13">
        <v>9</v>
      </c>
      <c r="J855" s="13">
        <v>6</v>
      </c>
      <c r="K855" s="14" t="str">
        <f>HYPERLINK("http://twitter.com/download/android","Twitter for Android")</f>
        <v>Twitter for Android</v>
      </c>
      <c r="L855" s="13">
        <v>67</v>
      </c>
      <c r="M855" s="13">
        <v>87</v>
      </c>
      <c r="N855" s="13">
        <v>3</v>
      </c>
      <c r="O855" s="15"/>
      <c r="P855" s="6">
        <v>41308.419328703705</v>
      </c>
      <c r="Q855" s="16" t="s">
        <v>3331</v>
      </c>
      <c r="R855" s="17" t="s">
        <v>3332</v>
      </c>
      <c r="S855" s="11" t="s">
        <v>3333</v>
      </c>
      <c r="T855" s="12"/>
      <c r="U855" s="10" t="str">
        <f>HYPERLINK("https://pbs.twimg.com/profile_images/579759628856131584/23NCXlIJ.jpg","View")</f>
        <v>View</v>
      </c>
    </row>
    <row r="856" spans="1:21" ht="20.399999999999999">
      <c r="A856" s="6">
        <v>43441.743275462963</v>
      </c>
      <c r="B856" s="7" t="str">
        <f>HYPERLINK("https://twitter.com/teleprensa","@teleprensa")</f>
        <v>@teleprensa</v>
      </c>
      <c r="C856" s="8" t="s">
        <v>3334</v>
      </c>
      <c r="D856" s="9" t="s">
        <v>3335</v>
      </c>
      <c r="E856" s="10" t="str">
        <f>HYPERLINK("https://twitter.com/teleprensa/status/1071084500476665861","1071084500476665861")</f>
        <v>1071084500476665861</v>
      </c>
      <c r="F856" s="11" t="s">
        <v>3336</v>
      </c>
      <c r="G856" s="12"/>
      <c r="H856" s="12"/>
      <c r="I856" s="13">
        <v>0</v>
      </c>
      <c r="J856" s="13">
        <v>0</v>
      </c>
      <c r="K856" s="14" t="str">
        <f>HYPERLINK("http://www.teleprensa.es","Teleprensa")</f>
        <v>Teleprensa</v>
      </c>
      <c r="L856" s="13">
        <v>6643</v>
      </c>
      <c r="M856" s="13">
        <v>61</v>
      </c>
      <c r="N856" s="13">
        <v>165</v>
      </c>
      <c r="O856" s="15"/>
      <c r="P856" s="6">
        <v>39833.742754629631</v>
      </c>
      <c r="Q856" s="16" t="s">
        <v>3337</v>
      </c>
      <c r="R856" s="17" t="s">
        <v>3338</v>
      </c>
      <c r="S856" s="11" t="s">
        <v>3339</v>
      </c>
      <c r="T856" s="12"/>
      <c r="U856" s="10" t="str">
        <f>HYPERLINK("https://pbs.twimg.com/profile_images/948234462428581889/njFLb4ok.jpg","View")</f>
        <v>View</v>
      </c>
    </row>
    <row r="857" spans="1:21" ht="51">
      <c r="A857" s="6">
        <v>43441.743252314816</v>
      </c>
      <c r="B857" s="7" t="str">
        <f>HYPERLINK("https://twitter.com/Francis68027481","@Francis68027481")</f>
        <v>@Francis68027481</v>
      </c>
      <c r="C857" s="8" t="s">
        <v>3340</v>
      </c>
      <c r="D857" s="9" t="s">
        <v>3341</v>
      </c>
      <c r="E857" s="10" t="str">
        <f>HYPERLINK("https://twitter.com/Francis68027481/status/1071084492406882304","1071084492406882304")</f>
        <v>1071084492406882304</v>
      </c>
      <c r="F857" s="12"/>
      <c r="G857" s="11" t="s">
        <v>3343</v>
      </c>
      <c r="H857" s="12"/>
      <c r="I857" s="13">
        <v>2</v>
      </c>
      <c r="J857" s="13">
        <v>1</v>
      </c>
      <c r="K857" s="14" t="str">
        <f>HYPERLINK("http://twitter.com","Twitter Web Client")</f>
        <v>Twitter Web Client</v>
      </c>
      <c r="L857" s="13">
        <v>279</v>
      </c>
      <c r="M857" s="13">
        <v>258</v>
      </c>
      <c r="N857" s="13">
        <v>2</v>
      </c>
      <c r="O857" s="15"/>
      <c r="P857" s="6">
        <v>41111.582800925928</v>
      </c>
      <c r="Q857" s="16" t="s">
        <v>3344</v>
      </c>
      <c r="R857" s="19"/>
      <c r="S857" s="12"/>
      <c r="T857" s="12"/>
      <c r="U857" s="10" t="str">
        <f>HYPERLINK("https://pbs.twimg.com/profile_images/941809622398234624/ZH59_68G.jpg","View")</f>
        <v>View</v>
      </c>
    </row>
    <row r="858" spans="1:21" ht="51">
      <c r="A858" s="6">
        <v>43441.741805555561</v>
      </c>
      <c r="B858" s="7" t="str">
        <f>HYPERLINK("https://twitter.com/GasparGonzlez1","@GasparGonzlez1")</f>
        <v>@GasparGonzlez1</v>
      </c>
      <c r="C858" s="8" t="s">
        <v>3345</v>
      </c>
      <c r="D858" s="9" t="s">
        <v>3346</v>
      </c>
      <c r="E858" s="10" t="str">
        <f>HYPERLINK("https://twitter.com/GasparGonzlez1/status/1071083966986416129","1071083966986416129")</f>
        <v>1071083966986416129</v>
      </c>
      <c r="F858" s="11" t="s">
        <v>3347</v>
      </c>
      <c r="G858" s="12"/>
      <c r="H858" s="12"/>
      <c r="I858" s="13">
        <v>0</v>
      </c>
      <c r="J858" s="13">
        <v>0</v>
      </c>
      <c r="K858" s="14" t="str">
        <f>HYPERLINK("http://twitter.com/download/android","Twitter for Android")</f>
        <v>Twitter for Android</v>
      </c>
      <c r="L858" s="13">
        <v>548</v>
      </c>
      <c r="M858" s="13">
        <v>415</v>
      </c>
      <c r="N858" s="13">
        <v>2</v>
      </c>
      <c r="O858" s="15"/>
      <c r="P858" s="6">
        <v>40694.647592592592</v>
      </c>
      <c r="Q858" s="16" t="s">
        <v>230</v>
      </c>
      <c r="R858" s="17" t="s">
        <v>3348</v>
      </c>
      <c r="S858" s="12"/>
      <c r="T858" s="12"/>
      <c r="U858" s="10" t="str">
        <f>HYPERLINK("https://pbs.twimg.com/profile_images/1062061266301280256/qkuKtwwc.jpg","View")</f>
        <v>View</v>
      </c>
    </row>
    <row r="859" spans="1:21" ht="20.399999999999999">
      <c r="A859" s="6">
        <v>43441.740983796291</v>
      </c>
      <c r="B859" s="7" t="str">
        <f>HYPERLINK("https://twitter.com/juancontrigo","@juancontrigo")</f>
        <v>@juancontrigo</v>
      </c>
      <c r="C859" s="8" t="s">
        <v>3349</v>
      </c>
      <c r="D859" s="9" t="s">
        <v>3350</v>
      </c>
      <c r="E859" s="10" t="str">
        <f>HYPERLINK("https://twitter.com/juancontrigo/status/1071083672298754058","1071083672298754058")</f>
        <v>1071083672298754058</v>
      </c>
      <c r="F859" s="11" t="s">
        <v>2089</v>
      </c>
      <c r="G859" s="12"/>
      <c r="H859" s="12"/>
      <c r="I859" s="13">
        <v>0</v>
      </c>
      <c r="J859" s="13">
        <v>0</v>
      </c>
      <c r="K859" s="14" t="str">
        <f>HYPERLINK("http://twitter.com","Twitter Web Client")</f>
        <v>Twitter Web Client</v>
      </c>
      <c r="L859" s="13">
        <v>6</v>
      </c>
      <c r="M859" s="13">
        <v>78</v>
      </c>
      <c r="N859" s="13">
        <v>0</v>
      </c>
      <c r="O859" s="15"/>
      <c r="P859" s="6">
        <v>41862.78025462963</v>
      </c>
      <c r="Q859" s="16" t="s">
        <v>26</v>
      </c>
      <c r="R859" s="17" t="s">
        <v>3351</v>
      </c>
      <c r="S859" s="12"/>
      <c r="T859" s="12"/>
      <c r="U859" s="10" t="str">
        <f>HYPERLINK("https://pbs.twimg.com/profile_images/498874260241125376/OmmP--ZU.jpeg","View")</f>
        <v>View</v>
      </c>
    </row>
    <row r="860" spans="1:21" ht="20.399999999999999">
      <c r="A860" s="6">
        <v>43441.740891203706</v>
      </c>
      <c r="B860" s="7" t="str">
        <f>HYPERLINK("https://twitter.com/Falendor_Villes","@Falendor_Villes")</f>
        <v>@Falendor_Villes</v>
      </c>
      <c r="C860" s="8" t="s">
        <v>3352</v>
      </c>
      <c r="D860" s="9" t="s">
        <v>3089</v>
      </c>
      <c r="E860" s="10" t="str">
        <f>HYPERLINK("https://twitter.com/Falendor_Villes/status/1071083638278758400","1071083638278758400")</f>
        <v>1071083638278758400</v>
      </c>
      <c r="F860" s="11" t="s">
        <v>1376</v>
      </c>
      <c r="G860" s="12"/>
      <c r="H860" s="12"/>
      <c r="I860" s="13">
        <v>0</v>
      </c>
      <c r="J860" s="13">
        <v>0</v>
      </c>
      <c r="K860" s="14" t="str">
        <f>HYPERLINK("http://twitter.com/download/android","Twitter for Android")</f>
        <v>Twitter for Android</v>
      </c>
      <c r="L860" s="13">
        <v>55</v>
      </c>
      <c r="M860" s="13">
        <v>170</v>
      </c>
      <c r="N860" s="13">
        <v>1</v>
      </c>
      <c r="O860" s="15"/>
      <c r="P860" s="6">
        <v>41555.703923611109</v>
      </c>
      <c r="Q860" s="16" t="s">
        <v>26</v>
      </c>
      <c r="R860" s="19"/>
      <c r="S860" s="12"/>
      <c r="T860" s="12"/>
      <c r="U860" s="10" t="str">
        <f>HYPERLINK("https://pbs.twimg.com/profile_images/920198460338470912/xcn6P5Ot.jpg","View")</f>
        <v>View</v>
      </c>
    </row>
    <row r="861" spans="1:21" ht="40.799999999999997">
      <c r="A861" s="6">
        <v>43441.738634259258</v>
      </c>
      <c r="B861" s="7" t="str">
        <f>HYPERLINK("https://twitter.com/xalomonte","@xalomonte")</f>
        <v>@xalomonte</v>
      </c>
      <c r="C861" s="8" t="s">
        <v>3353</v>
      </c>
      <c r="D861" s="9" t="s">
        <v>3317</v>
      </c>
      <c r="E861" s="10" t="str">
        <f>HYPERLINK("https://twitter.com/xalomonte/status/1071082818095202305","1071082818095202305")</f>
        <v>1071082818095202305</v>
      </c>
      <c r="F861" s="11" t="s">
        <v>3354</v>
      </c>
      <c r="G861" s="12"/>
      <c r="H861" s="12"/>
      <c r="I861" s="13">
        <v>0</v>
      </c>
      <c r="J861" s="13">
        <v>0</v>
      </c>
      <c r="K861" s="14" t="str">
        <f t="shared" ref="K861:K862" si="147">HYPERLINK("http://twitter.com","Twitter Web Client")</f>
        <v>Twitter Web Client</v>
      </c>
      <c r="L861" s="13">
        <v>2137</v>
      </c>
      <c r="M861" s="13">
        <v>2024</v>
      </c>
      <c r="N861" s="13">
        <v>34</v>
      </c>
      <c r="O861" s="15"/>
      <c r="P861" s="6">
        <v>40394.780034722222</v>
      </c>
      <c r="Q861" s="16" t="s">
        <v>3355</v>
      </c>
      <c r="R861" s="17" t="s">
        <v>3356</v>
      </c>
      <c r="S861" s="11" t="s">
        <v>3357</v>
      </c>
      <c r="T861" s="12"/>
      <c r="U861" s="10" t="str">
        <f>HYPERLINK("https://pbs.twimg.com/profile_images/497008794157608960/BSVZbeaB.jpeg","View")</f>
        <v>View</v>
      </c>
    </row>
    <row r="862" spans="1:21" ht="20.399999999999999">
      <c r="A862" s="6">
        <v>43441.737685185188</v>
      </c>
      <c r="B862" s="7" t="str">
        <f>HYPERLINK("https://twitter.com/SALE550","@SALE550")</f>
        <v>@SALE550</v>
      </c>
      <c r="C862" s="8" t="s">
        <v>3316</v>
      </c>
      <c r="D862" s="9" t="s">
        <v>1175</v>
      </c>
      <c r="E862" s="10" t="str">
        <f>HYPERLINK("https://twitter.com/SALE550/status/1071082473860284417","1071082473860284417")</f>
        <v>1071082473860284417</v>
      </c>
      <c r="F862" s="11" t="s">
        <v>1176</v>
      </c>
      <c r="G862" s="12"/>
      <c r="H862" s="12"/>
      <c r="I862" s="13">
        <v>0</v>
      </c>
      <c r="J862" s="13">
        <v>0</v>
      </c>
      <c r="K862" s="14" t="str">
        <f t="shared" si="147"/>
        <v>Twitter Web Client</v>
      </c>
      <c r="L862" s="13">
        <v>92</v>
      </c>
      <c r="M862" s="13">
        <v>491</v>
      </c>
      <c r="N862" s="13">
        <v>3</v>
      </c>
      <c r="O862" s="15"/>
      <c r="P862" s="6">
        <v>40501.330335648148</v>
      </c>
      <c r="Q862" s="16" t="s">
        <v>3319</v>
      </c>
      <c r="R862" s="17" t="s">
        <v>3320</v>
      </c>
      <c r="S862" s="12"/>
      <c r="T862" s="12"/>
      <c r="U862" s="10" t="str">
        <f>HYPERLINK("https://pbs.twimg.com/profile_images/2292818647/678cuyarak43yyoyr9vu.jpeg","View")</f>
        <v>View</v>
      </c>
    </row>
    <row r="863" spans="1:21" ht="30.6">
      <c r="A863" s="6">
        <v>43441.736111111109</v>
      </c>
      <c r="B863" s="7" t="str">
        <f>HYPERLINK("https://twitter.com/RadioHuancavilk","@RadioHuancavilk")</f>
        <v>@RadioHuancavilk</v>
      </c>
      <c r="C863" s="8" t="s">
        <v>2091</v>
      </c>
      <c r="D863" s="9" t="s">
        <v>2092</v>
      </c>
      <c r="E863" s="10" t="str">
        <f>HYPERLINK("https://twitter.com/RadioHuancavilk/status/1071081904013746176","1071081904013746176")</f>
        <v>1071081904013746176</v>
      </c>
      <c r="F863" s="11" t="s">
        <v>2093</v>
      </c>
      <c r="G863" s="11" t="s">
        <v>3358</v>
      </c>
      <c r="H863" s="12"/>
      <c r="I863" s="13">
        <v>1</v>
      </c>
      <c r="J863" s="13">
        <v>0</v>
      </c>
      <c r="K863" s="14" t="str">
        <f>HYPERLINK("https://about.twitter.com/products/tweetdeck","TweetDeck")</f>
        <v>TweetDeck</v>
      </c>
      <c r="L863" s="13">
        <v>24544</v>
      </c>
      <c r="M863" s="13">
        <v>132</v>
      </c>
      <c r="N863" s="13">
        <v>195</v>
      </c>
      <c r="O863" s="15"/>
      <c r="P863" s="6">
        <v>40735.782557870371</v>
      </c>
      <c r="Q863" s="16" t="s">
        <v>2095</v>
      </c>
      <c r="R863" s="17" t="s">
        <v>2096</v>
      </c>
      <c r="S863" s="11" t="s">
        <v>2097</v>
      </c>
      <c r="T863" s="12"/>
      <c r="U863" s="10" t="str">
        <f>HYPERLINK("https://pbs.twimg.com/profile_images/1018978289006891008/08-mGGQV.jpg","View")</f>
        <v>View</v>
      </c>
    </row>
    <row r="864" spans="1:21" ht="40.799999999999997">
      <c r="A864" s="6">
        <v>43441.735567129625</v>
      </c>
      <c r="B864" s="7" t="str">
        <f>HYPERLINK("https://twitter.com/consuyanton","@consuyanton")</f>
        <v>@consuyanton</v>
      </c>
      <c r="C864" s="8" t="s">
        <v>1494</v>
      </c>
      <c r="D864" s="9" t="s">
        <v>3359</v>
      </c>
      <c r="E864" s="10" t="str">
        <f>HYPERLINK("https://twitter.com/consuyanton/status/1071081705895854080","1071081705895854080")</f>
        <v>1071081705895854080</v>
      </c>
      <c r="F864" s="12"/>
      <c r="G864" s="12"/>
      <c r="H864" s="12"/>
      <c r="I864" s="13">
        <v>0</v>
      </c>
      <c r="J864" s="13">
        <v>2</v>
      </c>
      <c r="K864" s="14" t="str">
        <f>HYPERLINK("http://twitter.com","Twitter Web Client")</f>
        <v>Twitter Web Client</v>
      </c>
      <c r="L864" s="13">
        <v>1600</v>
      </c>
      <c r="M864" s="13">
        <v>884</v>
      </c>
      <c r="N864" s="13">
        <v>31</v>
      </c>
      <c r="O864" s="15"/>
      <c r="P864" s="6">
        <v>40456.055844907409</v>
      </c>
      <c r="Q864" s="16" t="s">
        <v>60</v>
      </c>
      <c r="R864" s="17" t="s">
        <v>1497</v>
      </c>
      <c r="S864" s="12"/>
      <c r="T864" s="12"/>
      <c r="U864" s="10" t="str">
        <f>HYPERLINK("https://pbs.twimg.com/profile_images/3023026475/ef1492f264a722b4ed7460342d63233e.jpeg","View")</f>
        <v>View</v>
      </c>
    </row>
    <row r="865" spans="1:21" ht="30.6">
      <c r="A865" s="6">
        <v>43441.735474537039</v>
      </c>
      <c r="B865" s="7" t="str">
        <f>HYPERLINK("https://twitter.com/Cabreadofeo","@Cabreadofeo")</f>
        <v>@Cabreadofeo</v>
      </c>
      <c r="C865" s="8" t="s">
        <v>3360</v>
      </c>
      <c r="D865" s="9" t="s">
        <v>3361</v>
      </c>
      <c r="E865" s="10" t="str">
        <f>HYPERLINK("https://twitter.com/Cabreadofeo/status/1071081674371411970","1071081674371411970")</f>
        <v>1071081674371411970</v>
      </c>
      <c r="F865" s="12"/>
      <c r="G865" s="11" t="s">
        <v>3362</v>
      </c>
      <c r="H865" s="12"/>
      <c r="I865" s="13">
        <v>0</v>
      </c>
      <c r="J865" s="13">
        <v>0</v>
      </c>
      <c r="K865" s="14" t="str">
        <f>HYPERLINK("http://twitter.com/download/iphone","Twitter for iPhone")</f>
        <v>Twitter for iPhone</v>
      </c>
      <c r="L865" s="13">
        <v>46</v>
      </c>
      <c r="M865" s="13">
        <v>47</v>
      </c>
      <c r="N865" s="13">
        <v>2</v>
      </c>
      <c r="O865" s="15"/>
      <c r="P865" s="6">
        <v>43336.480486111112</v>
      </c>
      <c r="Q865" s="16" t="s">
        <v>60</v>
      </c>
      <c r="R865" s="17" t="s">
        <v>3363</v>
      </c>
      <c r="S865" s="12"/>
      <c r="T865" s="12"/>
      <c r="U865" s="10" t="str">
        <f>HYPERLINK("https://pbs.twimg.com/profile_images/1053140622532583425/LahHTeBi.jpg","View")</f>
        <v>View</v>
      </c>
    </row>
    <row r="866" spans="1:21" ht="30.6">
      <c r="A866" s="6">
        <v>43441.735196759255</v>
      </c>
      <c r="B866" s="7" t="str">
        <f>HYPERLINK("https://twitter.com/periodicovzlano","@periodicovzlano")</f>
        <v>@periodicovzlano</v>
      </c>
      <c r="C866" s="8" t="s">
        <v>869</v>
      </c>
      <c r="D866" s="9" t="s">
        <v>3001</v>
      </c>
      <c r="E866" s="10" t="str">
        <f>HYPERLINK("https://twitter.com/periodicovzlano/status/1071081573410324480","1071081573410324480")</f>
        <v>1071081573410324480</v>
      </c>
      <c r="F866" s="11" t="s">
        <v>2757</v>
      </c>
      <c r="G866" s="11" t="s">
        <v>3364</v>
      </c>
      <c r="H866" s="12"/>
      <c r="I866" s="13">
        <v>0</v>
      </c>
      <c r="J866" s="13">
        <v>0</v>
      </c>
      <c r="K866" s="14" t="str">
        <f>HYPERLINK("http://epmundo.com","Tuiteo TOP EP (1)")</f>
        <v>Tuiteo TOP EP (1)</v>
      </c>
      <c r="L866" s="13">
        <v>479694</v>
      </c>
      <c r="M866" s="13">
        <v>358804</v>
      </c>
      <c r="N866" s="13">
        <v>1295</v>
      </c>
      <c r="O866" s="15"/>
      <c r="P866" s="6">
        <v>40663.3512962963</v>
      </c>
      <c r="Q866" s="16" t="s">
        <v>871</v>
      </c>
      <c r="R866" s="17" t="s">
        <v>872</v>
      </c>
      <c r="S866" s="11" t="s">
        <v>873</v>
      </c>
      <c r="T866" s="12"/>
      <c r="U866" s="10" t="str">
        <f>HYPERLINK("https://pbs.twimg.com/profile_images/958328579250638849/MCz7Q8U6.jpg","View")</f>
        <v>View</v>
      </c>
    </row>
    <row r="867" spans="1:21" ht="30.6">
      <c r="A867" s="6">
        <v>43441.733946759261</v>
      </c>
      <c r="B867" s="7" t="str">
        <f>HYPERLINK("https://twitter.com/Republica_com","@Republica_com")</f>
        <v>@Republica_com</v>
      </c>
      <c r="C867" s="20" t="s">
        <v>3365</v>
      </c>
      <c r="D867" s="9" t="s">
        <v>2092</v>
      </c>
      <c r="E867" s="10" t="str">
        <f>HYPERLINK("https://twitter.com/Republica_com/status/1071081119200755712","1071081119200755712")</f>
        <v>1071081119200755712</v>
      </c>
      <c r="F867" s="11" t="s">
        <v>3284</v>
      </c>
      <c r="G867" s="11" t="s">
        <v>3366</v>
      </c>
      <c r="H867" s="12"/>
      <c r="I867" s="13">
        <v>0</v>
      </c>
      <c r="J867" s="13">
        <v>0</v>
      </c>
      <c r="K867" s="14" t="str">
        <f>HYPERLINK("https://www.republica.com","Republica_com")</f>
        <v>Republica_com</v>
      </c>
      <c r="L867" s="13">
        <v>10097</v>
      </c>
      <c r="M867" s="13">
        <v>1227</v>
      </c>
      <c r="N867" s="13">
        <v>469</v>
      </c>
      <c r="O867" s="15"/>
      <c r="P867" s="6">
        <v>40240.683865740742</v>
      </c>
      <c r="Q867" s="16" t="s">
        <v>60</v>
      </c>
      <c r="R867" s="17" t="s">
        <v>3367</v>
      </c>
      <c r="S867" s="11" t="s">
        <v>3369</v>
      </c>
      <c r="T867" s="12"/>
      <c r="U867" s="10" t="str">
        <f>HYPERLINK("https://pbs.twimg.com/profile_images/553133695133941760/v--ksuL8.png","View")</f>
        <v>View</v>
      </c>
    </row>
    <row r="868" spans="1:21" ht="30.6">
      <c r="A868" s="6">
        <v>43441.732499999998</v>
      </c>
      <c r="B868" s="7" t="str">
        <f>HYPERLINK("https://twitter.com/Sotomayor_JA","@Sotomayor_JA")</f>
        <v>@Sotomayor_JA</v>
      </c>
      <c r="C868" s="8" t="s">
        <v>3371</v>
      </c>
      <c r="D868" s="9" t="s">
        <v>1175</v>
      </c>
      <c r="E868" s="10" t="str">
        <f>HYPERLINK("https://twitter.com/Sotomayor_JA/status/1071080595390939136","1071080595390939136")</f>
        <v>1071080595390939136</v>
      </c>
      <c r="F868" s="11" t="s">
        <v>1176</v>
      </c>
      <c r="G868" s="12"/>
      <c r="H868" s="12"/>
      <c r="I868" s="13">
        <v>0</v>
      </c>
      <c r="J868" s="13">
        <v>0</v>
      </c>
      <c r="K868" s="14" t="str">
        <f>HYPERLINK("http://twitter.com","Twitter Web Client")</f>
        <v>Twitter Web Client</v>
      </c>
      <c r="L868" s="13">
        <v>583</v>
      </c>
      <c r="M868" s="13">
        <v>560</v>
      </c>
      <c r="N868" s="13">
        <v>11</v>
      </c>
      <c r="O868" s="15"/>
      <c r="P868" s="6">
        <v>42245.7965162037</v>
      </c>
      <c r="Q868" s="16" t="s">
        <v>3372</v>
      </c>
      <c r="R868" s="17" t="s">
        <v>3373</v>
      </c>
      <c r="S868" s="12"/>
      <c r="T868" s="12"/>
      <c r="U868" s="10" t="str">
        <f>HYPERLINK("https://pbs.twimg.com/profile_images/806991829270925313/MRaXEgil.jpg","View")</f>
        <v>View</v>
      </c>
    </row>
    <row r="869" spans="1:21" ht="71.400000000000006">
      <c r="A869" s="6">
        <v>43441.732442129629</v>
      </c>
      <c r="B869" s="7" t="str">
        <f>HYPERLINK("https://twitter.com/elenay29","@elenay29")</f>
        <v>@elenay29</v>
      </c>
      <c r="C869" s="8" t="s">
        <v>2178</v>
      </c>
      <c r="D869" s="9" t="s">
        <v>3374</v>
      </c>
      <c r="E869" s="10" t="str">
        <f>HYPERLINK("https://twitter.com/elenay29/status/1071080576407494656","1071080576407494656")</f>
        <v>1071080576407494656</v>
      </c>
      <c r="F869" s="16" t="s">
        <v>3375</v>
      </c>
      <c r="G869" s="12"/>
      <c r="H869" s="12"/>
      <c r="I869" s="13">
        <v>318</v>
      </c>
      <c r="J869" s="13">
        <v>427</v>
      </c>
      <c r="K869" s="14" t="str">
        <f>HYPERLINK("http://twitter.com/download/iphone","Twitter for iPhone")</f>
        <v>Twitter for iPhone</v>
      </c>
      <c r="L869" s="13">
        <v>11329</v>
      </c>
      <c r="M869" s="13">
        <v>8317</v>
      </c>
      <c r="N869" s="13">
        <v>68</v>
      </c>
      <c r="O869" s="15"/>
      <c r="P869" s="6">
        <v>40744.975231481483</v>
      </c>
      <c r="Q869" s="16" t="s">
        <v>2182</v>
      </c>
      <c r="R869" s="17" t="s">
        <v>2183</v>
      </c>
      <c r="S869" s="12"/>
      <c r="T869" s="12"/>
      <c r="U869" s="10" t="str">
        <f>HYPERLINK("https://pbs.twimg.com/profile_images/1068897939467177984/f8lws2xD.jpg","View")</f>
        <v>View</v>
      </c>
    </row>
    <row r="870" spans="1:21" ht="40.799999999999997">
      <c r="A870" s="6">
        <v>43441.729328703703</v>
      </c>
      <c r="B870" s="7" t="str">
        <f>HYPERLINK("https://twitter.com/Estadio_ED","@Estadio_ED")</f>
        <v>@Estadio_ED</v>
      </c>
      <c r="C870" s="8" t="s">
        <v>3376</v>
      </c>
      <c r="D870" s="9" t="s">
        <v>3377</v>
      </c>
      <c r="E870" s="10" t="str">
        <f>HYPERLINK("https://twitter.com/Estadio_ED/status/1071079446608793600","1071079446608793600")</f>
        <v>1071079446608793600</v>
      </c>
      <c r="F870" s="11" t="s">
        <v>3378</v>
      </c>
      <c r="G870" s="12"/>
      <c r="H870" s="12"/>
      <c r="I870" s="13">
        <v>0</v>
      </c>
      <c r="J870" s="13">
        <v>0</v>
      </c>
      <c r="K870" s="14" t="str">
        <f>HYPERLINK("https://www.hootsuite.com","Hootsuite Inc.")</f>
        <v>Hootsuite Inc.</v>
      </c>
      <c r="L870" s="13">
        <v>121082</v>
      </c>
      <c r="M870" s="13">
        <v>528</v>
      </c>
      <c r="N870" s="13">
        <v>808</v>
      </c>
      <c r="O870" s="18" t="s">
        <v>41</v>
      </c>
      <c r="P870" s="6">
        <v>40564.550243055557</v>
      </c>
      <c r="Q870" s="16" t="s">
        <v>3379</v>
      </c>
      <c r="R870" s="17" t="s">
        <v>3380</v>
      </c>
      <c r="S870" s="11" t="s">
        <v>3381</v>
      </c>
      <c r="T870" s="12"/>
      <c r="U870" s="10" t="str">
        <f>HYPERLINK("https://pbs.twimg.com/profile_images/1053548389097529345/DhINYKJ4.jpg","View")</f>
        <v>View</v>
      </c>
    </row>
    <row r="871" spans="1:21" ht="40.799999999999997">
      <c r="A871" s="6">
        <v>43441.729270833333</v>
      </c>
      <c r="B871" s="7" t="str">
        <f>HYPERLINK("https://twitter.com/TheMetalCircus","@TheMetalCircus")</f>
        <v>@TheMetalCircus</v>
      </c>
      <c r="C871" s="8" t="s">
        <v>3382</v>
      </c>
      <c r="D871" s="9" t="s">
        <v>3383</v>
      </c>
      <c r="E871" s="10" t="str">
        <f>HYPERLINK("https://twitter.com/TheMetalCircus/status/1071079424127320064","1071079424127320064")</f>
        <v>1071079424127320064</v>
      </c>
      <c r="F871" s="11" t="s">
        <v>3384</v>
      </c>
      <c r="G871" s="12"/>
      <c r="H871" s="12"/>
      <c r="I871" s="13">
        <v>0</v>
      </c>
      <c r="J871" s="13">
        <v>1</v>
      </c>
      <c r="K871" s="14" t="str">
        <f>HYPERLINK("http://www.facebook.com/twitter","Facebook")</f>
        <v>Facebook</v>
      </c>
      <c r="L871" s="13">
        <v>9549</v>
      </c>
      <c r="M871" s="13">
        <v>610</v>
      </c>
      <c r="N871" s="13">
        <v>124</v>
      </c>
      <c r="O871" s="15"/>
      <c r="P871" s="6">
        <v>40857.778402777782</v>
      </c>
      <c r="Q871" s="16" t="s">
        <v>119</v>
      </c>
      <c r="R871" s="17" t="s">
        <v>3385</v>
      </c>
      <c r="S871" s="11" t="s">
        <v>3386</v>
      </c>
      <c r="T871" s="12"/>
      <c r="U871" s="10" t="str">
        <f>HYPERLINK("https://pbs.twimg.com/profile_images/1044842927502118913/9xPrFY4n.jpg","View")</f>
        <v>View</v>
      </c>
    </row>
    <row r="872" spans="1:21" ht="20.399999999999999">
      <c r="A872" s="6">
        <v>43441.729120370372</v>
      </c>
      <c r="B872" s="7" t="str">
        <f>HYPERLINK("https://twitter.com/L20mOtros","@L20mOtros")</f>
        <v>@L20mOtros</v>
      </c>
      <c r="C872" s="8" t="s">
        <v>579</v>
      </c>
      <c r="D872" s="9" t="s">
        <v>3012</v>
      </c>
      <c r="E872" s="10" t="str">
        <f>HYPERLINK("https://twitter.com/L20mOtros/status/1071079371404963841","1071079371404963841")</f>
        <v>1071079371404963841</v>
      </c>
      <c r="F872" s="11" t="s">
        <v>3387</v>
      </c>
      <c r="G872" s="11" t="s">
        <v>3388</v>
      </c>
      <c r="H872" s="12"/>
      <c r="I872" s="13">
        <v>0</v>
      </c>
      <c r="J872" s="13">
        <v>0</v>
      </c>
      <c r="K872" s="14" t="str">
        <f>HYPERLINK("http://dogtrack.es","DogTrack_Oficial")</f>
        <v>DogTrack_Oficial</v>
      </c>
      <c r="L872" s="13">
        <v>23</v>
      </c>
      <c r="M872" s="13">
        <v>8</v>
      </c>
      <c r="N872" s="13">
        <v>0</v>
      </c>
      <c r="O872" s="15"/>
      <c r="P872" s="6">
        <v>41285.602418981478</v>
      </c>
      <c r="Q872" s="12"/>
      <c r="R872" s="19"/>
      <c r="S872" s="11" t="s">
        <v>585</v>
      </c>
      <c r="T872" s="12"/>
      <c r="U872" s="10" t="str">
        <f>HYPERLINK("https://pbs.twimg.com/profile_images/3148562799/6854a445e373c5053b43f5c11d764b41.jpeg","View")</f>
        <v>View</v>
      </c>
    </row>
    <row r="873" spans="1:21" ht="20.399999999999999">
      <c r="A873" s="6">
        <v>43441.727951388893</v>
      </c>
      <c r="B873" s="7" t="str">
        <f>HYPERLINK("https://twitter.com/mogollini","@mogollini")</f>
        <v>@mogollini</v>
      </c>
      <c r="C873" s="8" t="s">
        <v>3389</v>
      </c>
      <c r="D873" s="9" t="s">
        <v>3390</v>
      </c>
      <c r="E873" s="10" t="str">
        <f>HYPERLINK("https://twitter.com/mogollini/status/1071078948132585474","1071078948132585474")</f>
        <v>1071078948132585474</v>
      </c>
      <c r="F873" s="12"/>
      <c r="G873" s="12"/>
      <c r="H873" s="12"/>
      <c r="I873" s="13">
        <v>0</v>
      </c>
      <c r="J873" s="13">
        <v>0</v>
      </c>
      <c r="K873" s="14" t="str">
        <f t="shared" ref="K873:K874" si="148">HYPERLINK("http://twitter.com/download/android","Twitter for Android")</f>
        <v>Twitter for Android</v>
      </c>
      <c r="L873" s="13">
        <v>448</v>
      </c>
      <c r="M873" s="13">
        <v>1149</v>
      </c>
      <c r="N873" s="13">
        <v>4</v>
      </c>
      <c r="O873" s="15"/>
      <c r="P873" s="6">
        <v>40063.913113425922</v>
      </c>
      <c r="Q873" s="16" t="s">
        <v>3392</v>
      </c>
      <c r="R873" s="17" t="s">
        <v>3393</v>
      </c>
      <c r="S873" s="12"/>
      <c r="T873" s="12"/>
      <c r="U873" s="10" t="str">
        <f>HYPERLINK("https://pbs.twimg.com/profile_images/855918585394450434/2pM-gh4L.jpg","View")</f>
        <v>View</v>
      </c>
    </row>
    <row r="874" spans="1:21" ht="30.6">
      <c r="A874" s="6">
        <v>43441.727939814809</v>
      </c>
      <c r="B874" s="7" t="str">
        <f>HYPERLINK("https://twitter.com/Taboodelaney","@Taboodelaney")</f>
        <v>@Taboodelaney</v>
      </c>
      <c r="C874" s="8" t="s">
        <v>773</v>
      </c>
      <c r="D874" s="9" t="s">
        <v>3396</v>
      </c>
      <c r="E874" s="10" t="str">
        <f>HYPERLINK("https://twitter.com/Taboodelaney/status/1071078942243733504","1071078942243733504")</f>
        <v>1071078942243733504</v>
      </c>
      <c r="F874" s="11" t="s">
        <v>2509</v>
      </c>
      <c r="G874" s="12"/>
      <c r="H874" s="12"/>
      <c r="I874" s="13">
        <v>1</v>
      </c>
      <c r="J874" s="13">
        <v>4</v>
      </c>
      <c r="K874" s="14" t="str">
        <f t="shared" si="148"/>
        <v>Twitter for Android</v>
      </c>
      <c r="L874" s="13">
        <v>1179</v>
      </c>
      <c r="M874" s="13">
        <v>1050</v>
      </c>
      <c r="N874" s="13">
        <v>2</v>
      </c>
      <c r="O874" s="15"/>
      <c r="P874" s="6">
        <v>43252.734421296293</v>
      </c>
      <c r="Q874" s="12"/>
      <c r="R874" s="17" t="s">
        <v>775</v>
      </c>
      <c r="S874" s="12"/>
      <c r="T874" s="12"/>
      <c r="U874" s="10" t="str">
        <f>HYPERLINK("https://pbs.twimg.com/profile_images/1054075081960382466/6n7kVrx9.jpg","View")</f>
        <v>View</v>
      </c>
    </row>
    <row r="875" spans="1:21" ht="30.6">
      <c r="A875" s="6">
        <v>43441.727812500001</v>
      </c>
      <c r="B875" s="7" t="str">
        <f>HYPERLINK("https://twitter.com/jmm_es","@jmm_es")</f>
        <v>@jmm_es</v>
      </c>
      <c r="C875" s="20" t="s">
        <v>3397</v>
      </c>
      <c r="D875" s="9" t="s">
        <v>1514</v>
      </c>
      <c r="E875" s="10" t="str">
        <f>HYPERLINK("https://twitter.com/jmm_es/status/1071078899050840064","1071078899050840064")</f>
        <v>1071078899050840064</v>
      </c>
      <c r="F875" s="11" t="s">
        <v>246</v>
      </c>
      <c r="G875" s="12"/>
      <c r="H875" s="12"/>
      <c r="I875" s="13">
        <v>0</v>
      </c>
      <c r="J875" s="13">
        <v>0</v>
      </c>
      <c r="K875" s="14" t="str">
        <f t="shared" ref="K875:K876" si="149">HYPERLINK("http://twitter.com","Twitter Web Client")</f>
        <v>Twitter Web Client</v>
      </c>
      <c r="L875" s="13">
        <v>143</v>
      </c>
      <c r="M875" s="13">
        <v>804</v>
      </c>
      <c r="N875" s="13">
        <v>3</v>
      </c>
      <c r="O875" s="15"/>
      <c r="P875" s="6">
        <v>40594.541805555556</v>
      </c>
      <c r="Q875" s="12"/>
      <c r="R875" s="19"/>
      <c r="S875" s="12"/>
      <c r="T875" s="12"/>
      <c r="U875" s="10" t="str">
        <f>HYPERLINK("https://pbs.twimg.com/profile_images/1060511701991415808/akrlTNcL.jpg","View")</f>
        <v>View</v>
      </c>
    </row>
    <row r="876" spans="1:21" ht="20.399999999999999">
      <c r="A876" s="6">
        <v>43441.726620370369</v>
      </c>
      <c r="B876" s="7" t="str">
        <f>HYPERLINK("https://twitter.com/LAREVUELO53","@LAREVUELO53")</f>
        <v>@LAREVUELO53</v>
      </c>
      <c r="C876" s="8" t="s">
        <v>2437</v>
      </c>
      <c r="D876" s="9" t="s">
        <v>3398</v>
      </c>
      <c r="E876" s="10" t="str">
        <f>HYPERLINK("https://twitter.com/LAREVUELO53/status/1071078463677874182","1071078463677874182")</f>
        <v>1071078463677874182</v>
      </c>
      <c r="F876" s="11" t="s">
        <v>3399</v>
      </c>
      <c r="G876" s="12"/>
      <c r="H876" s="12"/>
      <c r="I876" s="13">
        <v>0</v>
      </c>
      <c r="J876" s="13">
        <v>0</v>
      </c>
      <c r="K876" s="14" t="str">
        <f t="shared" si="149"/>
        <v>Twitter Web Client</v>
      </c>
      <c r="L876" s="13">
        <v>415</v>
      </c>
      <c r="M876" s="13">
        <v>1519</v>
      </c>
      <c r="N876" s="13">
        <v>4</v>
      </c>
      <c r="O876" s="15"/>
      <c r="P876" s="6">
        <v>40681.9059375</v>
      </c>
      <c r="Q876" s="16" t="s">
        <v>1144</v>
      </c>
      <c r="R876" s="19"/>
      <c r="S876" s="11" t="s">
        <v>2440</v>
      </c>
      <c r="T876" s="12"/>
      <c r="U876" s="10" t="str">
        <f>HYPERLINK("https://pbs.twimg.com/profile_images/719705597436960769/UB_JVe0J.jpg","View")</f>
        <v>View</v>
      </c>
    </row>
    <row r="877" spans="1:21" ht="40.799999999999997">
      <c r="A877" s="6">
        <v>43441.725578703699</v>
      </c>
      <c r="B877" s="7" t="str">
        <f>HYPERLINK("https://twitter.com/VeoInfo_","@VeoInfo_")</f>
        <v>@VeoInfo_</v>
      </c>
      <c r="C877" s="8" t="s">
        <v>2627</v>
      </c>
      <c r="D877" s="9" t="s">
        <v>3012</v>
      </c>
      <c r="E877" s="10" t="str">
        <f>HYPERLINK("https://twitter.com/VeoInfo_/status/1071078087733977089","1071078087733977089")</f>
        <v>1071078087733977089</v>
      </c>
      <c r="F877" s="11" t="s">
        <v>3400</v>
      </c>
      <c r="G877" s="11" t="s">
        <v>3401</v>
      </c>
      <c r="H877" s="12"/>
      <c r="I877" s="13">
        <v>0</v>
      </c>
      <c r="J877" s="13">
        <v>0</v>
      </c>
      <c r="K877" s="14" t="str">
        <f>HYPERLINK("http://publicize.wp.com/","WordPress.com")</f>
        <v>WordPress.com</v>
      </c>
      <c r="L877" s="13">
        <v>1135</v>
      </c>
      <c r="M877" s="13">
        <v>1139</v>
      </c>
      <c r="N877" s="13">
        <v>37</v>
      </c>
      <c r="O877" s="15"/>
      <c r="P877" s="6">
        <v>41881.101840277777</v>
      </c>
      <c r="Q877" s="16" t="s">
        <v>2629</v>
      </c>
      <c r="R877" s="17" t="s">
        <v>2630</v>
      </c>
      <c r="S877" s="11" t="s">
        <v>2631</v>
      </c>
      <c r="T877" s="12"/>
      <c r="U877" s="10" t="str">
        <f>HYPERLINK("https://pbs.twimg.com/profile_images/601509372305485827/Val0dfGy.png","View")</f>
        <v>View</v>
      </c>
    </row>
    <row r="878" spans="1:21" ht="61.2">
      <c r="A878" s="6">
        <v>43441.72456018519</v>
      </c>
      <c r="B878" s="7" t="str">
        <f>HYPERLINK("https://twitter.com/JoseLui43872588","@JoseLui43872588")</f>
        <v>@JoseLui43872588</v>
      </c>
      <c r="C878" s="8" t="s">
        <v>1378</v>
      </c>
      <c r="D878" s="9" t="s">
        <v>3402</v>
      </c>
      <c r="E878" s="10" t="str">
        <f>HYPERLINK("https://twitter.com/JoseLui43872588/status/1071077720212299777","1071077720212299777")</f>
        <v>1071077720212299777</v>
      </c>
      <c r="F878" s="16" t="s">
        <v>3403</v>
      </c>
      <c r="G878" s="12"/>
      <c r="H878" s="12"/>
      <c r="I878" s="13">
        <v>0</v>
      </c>
      <c r="J878" s="13">
        <v>0</v>
      </c>
      <c r="K878" s="14" t="str">
        <f>HYPERLINK("http://twitter.com/download/android","Twitter for Android")</f>
        <v>Twitter for Android</v>
      </c>
      <c r="L878" s="13">
        <v>518</v>
      </c>
      <c r="M878" s="13">
        <v>129</v>
      </c>
      <c r="N878" s="13">
        <v>7</v>
      </c>
      <c r="O878" s="15"/>
      <c r="P878" s="6">
        <v>42705.999224537038</v>
      </c>
      <c r="Q878" s="16" t="s">
        <v>230</v>
      </c>
      <c r="R878" s="17" t="s">
        <v>1380</v>
      </c>
      <c r="S878" s="12"/>
      <c r="T878" s="12"/>
      <c r="U878" s="10" t="str">
        <f>HYPERLINK("https://pbs.twimg.com/profile_images/1009872713064820737/I4zrX8RR.jpg","View")</f>
        <v>View</v>
      </c>
    </row>
    <row r="879" spans="1:21" ht="102">
      <c r="A879" s="6">
        <v>43441.723252314812</v>
      </c>
      <c r="B879" s="7" t="str">
        <f>HYPERLINK("https://twitter.com/FG72373327","@FG72373327")</f>
        <v>@FG72373327</v>
      </c>
      <c r="C879" s="8" t="s">
        <v>3404</v>
      </c>
      <c r="D879" s="9" t="s">
        <v>3405</v>
      </c>
      <c r="E879" s="10" t="str">
        <f>HYPERLINK("https://twitter.com/FG72373327/status/1071077244750053379","1071077244750053379")</f>
        <v>1071077244750053379</v>
      </c>
      <c r="F879" s="11" t="s">
        <v>3406</v>
      </c>
      <c r="G879" s="12"/>
      <c r="H879" s="12"/>
      <c r="I879" s="13">
        <v>1</v>
      </c>
      <c r="J879" s="13">
        <v>1</v>
      </c>
      <c r="K879" s="14" t="str">
        <f>HYPERLINK("http://twitter.com/download/iphone","Twitter for iPhone")</f>
        <v>Twitter for iPhone</v>
      </c>
      <c r="L879" s="13">
        <v>888</v>
      </c>
      <c r="M879" s="13">
        <v>926</v>
      </c>
      <c r="N879" s="13">
        <v>6</v>
      </c>
      <c r="O879" s="15"/>
      <c r="P879" s="6">
        <v>42977.396006944444</v>
      </c>
      <c r="Q879" s="16" t="s">
        <v>26</v>
      </c>
      <c r="R879" s="19"/>
      <c r="S879" s="12"/>
      <c r="T879" s="12"/>
      <c r="U879" s="10" t="str">
        <f>HYPERLINK("https://pbs.twimg.com/profile_images/902802729009111040/RUuGyEn7.jpg","View")</f>
        <v>View</v>
      </c>
    </row>
    <row r="880" spans="1:21" ht="20.399999999999999">
      <c r="A880" s="6">
        <v>43441.723043981481</v>
      </c>
      <c r="B880" s="7" t="str">
        <f>HYPERLINK("https://twitter.com/LAREVUELO53","@LAREVUELO53")</f>
        <v>@LAREVUELO53</v>
      </c>
      <c r="C880" s="8" t="s">
        <v>2437</v>
      </c>
      <c r="D880" s="9" t="s">
        <v>3407</v>
      </c>
      <c r="E880" s="10" t="str">
        <f>HYPERLINK("https://twitter.com/LAREVUELO53/status/1071077168959156224","1071077168959156224")</f>
        <v>1071077168959156224</v>
      </c>
      <c r="F880" s="11" t="s">
        <v>3408</v>
      </c>
      <c r="G880" s="12"/>
      <c r="H880" s="12"/>
      <c r="I880" s="13">
        <v>0</v>
      </c>
      <c r="J880" s="13">
        <v>0</v>
      </c>
      <c r="K880" s="14" t="str">
        <f>HYPERLINK("http://twitter.com","Twitter Web Client")</f>
        <v>Twitter Web Client</v>
      </c>
      <c r="L880" s="13">
        <v>415</v>
      </c>
      <c r="M880" s="13">
        <v>1519</v>
      </c>
      <c r="N880" s="13">
        <v>4</v>
      </c>
      <c r="O880" s="15"/>
      <c r="P880" s="6">
        <v>40681.9059375</v>
      </c>
      <c r="Q880" s="16" t="s">
        <v>1144</v>
      </c>
      <c r="R880" s="19"/>
      <c r="S880" s="11" t="s">
        <v>2440</v>
      </c>
      <c r="T880" s="12"/>
      <c r="U880" s="10" t="str">
        <f>HYPERLINK("https://pbs.twimg.com/profile_images/719705597436960769/UB_JVe0J.jpg","View")</f>
        <v>View</v>
      </c>
    </row>
    <row r="881" spans="1:21" ht="40.799999999999997">
      <c r="A881" s="6">
        <v>43441.722407407404</v>
      </c>
      <c r="B881" s="7" t="str">
        <f>HYPERLINK("https://twitter.com/BuzoneoVox","@BuzoneoVox")</f>
        <v>@BuzoneoVox</v>
      </c>
      <c r="C881" s="8" t="s">
        <v>414</v>
      </c>
      <c r="D881" s="9" t="s">
        <v>3409</v>
      </c>
      <c r="E881" s="10" t="str">
        <f>HYPERLINK("https://twitter.com/BuzoneoVox/status/1071076937441923078","1071076937441923078")</f>
        <v>1071076937441923078</v>
      </c>
      <c r="F881" s="16" t="s">
        <v>3410</v>
      </c>
      <c r="G881" s="12"/>
      <c r="H881" s="12"/>
      <c r="I881" s="13">
        <v>0</v>
      </c>
      <c r="J881" s="13">
        <v>2</v>
      </c>
      <c r="K881" s="14" t="str">
        <f>HYPERLINK("http://twitter.com/download/iphone","Twitter for iPhone")</f>
        <v>Twitter for iPhone</v>
      </c>
      <c r="L881" s="13">
        <v>385</v>
      </c>
      <c r="M881" s="13">
        <v>644</v>
      </c>
      <c r="N881" s="13">
        <v>1</v>
      </c>
      <c r="O881" s="15"/>
      <c r="P881" s="6">
        <v>43260.618113425924</v>
      </c>
      <c r="Q881" s="16" t="s">
        <v>60</v>
      </c>
      <c r="R881" s="17" t="s">
        <v>417</v>
      </c>
      <c r="S881" s="12"/>
      <c r="T881" s="12"/>
      <c r="U881" s="10" t="str">
        <f>HYPERLINK("https://pbs.twimg.com/profile_images/1005460745071493122/2qz5mJBK.jpg","View")</f>
        <v>View</v>
      </c>
    </row>
    <row r="882" spans="1:21" ht="30.6">
      <c r="A882" s="6">
        <v>43441.722372685181</v>
      </c>
      <c r="B882" s="7" t="str">
        <f>HYPERLINK("https://twitter.com/hectordiosvive","@hectordiosvive")</f>
        <v>@hectordiosvive</v>
      </c>
      <c r="C882" s="8" t="s">
        <v>3411</v>
      </c>
      <c r="D882" s="9" t="s">
        <v>3412</v>
      </c>
      <c r="E882" s="10" t="str">
        <f>HYPERLINK("https://twitter.com/hectordiosvive/status/1071076926540996609","1071076926540996609")</f>
        <v>1071076926540996609</v>
      </c>
      <c r="F882" s="12"/>
      <c r="G882" s="12"/>
      <c r="H882" s="12"/>
      <c r="I882" s="13">
        <v>0</v>
      </c>
      <c r="J882" s="13">
        <v>0</v>
      </c>
      <c r="K882" s="14" t="str">
        <f>HYPERLINK("http://www.facebook.com/twitter","Facebook")</f>
        <v>Facebook</v>
      </c>
      <c r="L882" s="13">
        <v>131</v>
      </c>
      <c r="M882" s="13">
        <v>481</v>
      </c>
      <c r="N882" s="13">
        <v>0</v>
      </c>
      <c r="O882" s="15"/>
      <c r="P882" s="6">
        <v>40282.631550925929</v>
      </c>
      <c r="Q882" s="16" t="s">
        <v>3413</v>
      </c>
      <c r="R882" s="17" t="s">
        <v>3414</v>
      </c>
      <c r="S882" s="12"/>
      <c r="T882" s="12"/>
      <c r="U882" s="10" t="str">
        <f>HYPERLINK("https://pbs.twimg.com/profile_images/678205955620777985/DT3JvL77.jpg","View")</f>
        <v>View</v>
      </c>
    </row>
    <row r="883" spans="1:21" ht="51">
      <c r="A883" s="6">
        <v>43441.722337962958</v>
      </c>
      <c r="B883" s="7" t="str">
        <f>HYPERLINK("https://twitter.com/PachakutikG","@PachakutikG")</f>
        <v>@PachakutikG</v>
      </c>
      <c r="C883" s="8" t="s">
        <v>337</v>
      </c>
      <c r="D883" s="9" t="s">
        <v>3415</v>
      </c>
      <c r="E883" s="10" t="str">
        <f>HYPERLINK("https://twitter.com/PachakutikG/status/1071076912011841536","1071076912011841536")</f>
        <v>1071076912011841536</v>
      </c>
      <c r="F883" s="12"/>
      <c r="G883" s="11" t="s">
        <v>3416</v>
      </c>
      <c r="H883" s="12"/>
      <c r="I883" s="13">
        <v>0</v>
      </c>
      <c r="J883" s="13">
        <v>0</v>
      </c>
      <c r="K883" s="14" t="str">
        <f>HYPERLINK("http://twitter.com","Twitter Web Client")</f>
        <v>Twitter Web Client</v>
      </c>
      <c r="L883" s="13">
        <v>25</v>
      </c>
      <c r="M883" s="13">
        <v>167</v>
      </c>
      <c r="N883" s="13">
        <v>0</v>
      </c>
      <c r="O883" s="15"/>
      <c r="P883" s="6">
        <v>43406.692118055551</v>
      </c>
      <c r="Q883" s="16" t="s">
        <v>341</v>
      </c>
      <c r="R883" s="17" t="s">
        <v>342</v>
      </c>
      <c r="S883" s="12"/>
      <c r="T883" s="12"/>
      <c r="U883" s="10" t="str">
        <f>HYPERLINK("https://pbs.twimg.com/profile_images/1060226923568291841/FI9JXd2L.jpg","View")</f>
        <v>View</v>
      </c>
    </row>
    <row r="884" spans="1:21" ht="40.799999999999997">
      <c r="A884" s="6">
        <v>43441.721192129626</v>
      </c>
      <c r="B884" s="7" t="str">
        <f>HYPERLINK("https://twitter.com/birdoc_a","@birdoc_a")</f>
        <v>@birdoc_a</v>
      </c>
      <c r="C884" s="8" t="s">
        <v>3417</v>
      </c>
      <c r="D884" s="9" t="s">
        <v>3418</v>
      </c>
      <c r="E884" s="10" t="str">
        <f>HYPERLINK("https://twitter.com/birdoc_a/status/1071076497740439553","1071076497740439553")</f>
        <v>1071076497740439553</v>
      </c>
      <c r="F884" s="11" t="s">
        <v>1176</v>
      </c>
      <c r="G884" s="12"/>
      <c r="H884" s="12"/>
      <c r="I884" s="13">
        <v>0</v>
      </c>
      <c r="J884" s="13">
        <v>0</v>
      </c>
      <c r="K884" s="14" t="str">
        <f t="shared" ref="K884:K885" si="150">HYPERLINK("http://twitter.com/download/android","Twitter for Android")</f>
        <v>Twitter for Android</v>
      </c>
      <c r="L884" s="13">
        <v>1137</v>
      </c>
      <c r="M884" s="13">
        <v>1046</v>
      </c>
      <c r="N884" s="13">
        <v>13</v>
      </c>
      <c r="O884" s="15"/>
      <c r="P884" s="6">
        <v>41267.7190625</v>
      </c>
      <c r="Q884" s="12"/>
      <c r="R884" s="17" t="s">
        <v>3419</v>
      </c>
      <c r="S884" s="12"/>
      <c r="T884" s="12"/>
      <c r="U884" s="10" t="str">
        <f>HYPERLINK("https://pbs.twimg.com/profile_images/3015438941/6f51c2b14b980194f3f74ddfbdc89d8a.jpeg","View")</f>
        <v>View</v>
      </c>
    </row>
    <row r="885" spans="1:21" ht="40.799999999999997">
      <c r="A885" s="6">
        <v>43441.721041666664</v>
      </c>
      <c r="B885" s="7" t="str">
        <f>HYPERLINK("https://twitter.com/juanluisgalind3","@juanluisgalind3")</f>
        <v>@juanluisgalind3</v>
      </c>
      <c r="C885" s="8" t="s">
        <v>3420</v>
      </c>
      <c r="D885" s="9" t="s">
        <v>1175</v>
      </c>
      <c r="E885" s="10" t="str">
        <f>HYPERLINK("https://twitter.com/juanluisgalind3/status/1071076443961090048","1071076443961090048")</f>
        <v>1071076443961090048</v>
      </c>
      <c r="F885" s="11" t="s">
        <v>1176</v>
      </c>
      <c r="G885" s="12"/>
      <c r="H885" s="12"/>
      <c r="I885" s="13">
        <v>0</v>
      </c>
      <c r="J885" s="13">
        <v>0</v>
      </c>
      <c r="K885" s="14" t="str">
        <f t="shared" si="150"/>
        <v>Twitter for Android</v>
      </c>
      <c r="L885" s="13">
        <v>140</v>
      </c>
      <c r="M885" s="13">
        <v>325</v>
      </c>
      <c r="N885" s="13">
        <v>1</v>
      </c>
      <c r="O885" s="15"/>
      <c r="P885" s="6">
        <v>41996.79069444444</v>
      </c>
      <c r="Q885" s="16" t="s">
        <v>3421</v>
      </c>
      <c r="R885" s="17" t="s">
        <v>3422</v>
      </c>
      <c r="S885" s="12"/>
      <c r="T885" s="12"/>
      <c r="U885" s="10" t="str">
        <f>HYPERLINK("https://pbs.twimg.com/profile_images/786949067918237697/TVBiXH89.jpg","View")</f>
        <v>View</v>
      </c>
    </row>
    <row r="886" spans="1:21" ht="40.799999999999997">
      <c r="A886" s="6">
        <v>43441.720439814817</v>
      </c>
      <c r="B886" s="7" t="str">
        <f>HYPERLINK("https://twitter.com/Hipocresiaroja","@Hipocresiaroja")</f>
        <v>@Hipocresiaroja</v>
      </c>
      <c r="C886" s="8" t="s">
        <v>3423</v>
      </c>
      <c r="D886" s="9" t="s">
        <v>3424</v>
      </c>
      <c r="E886" s="10" t="str">
        <f>HYPERLINK("https://twitter.com/Hipocresiaroja/status/1071076223932096512","1071076223932096512")</f>
        <v>1071076223932096512</v>
      </c>
      <c r="F886" s="12"/>
      <c r="G886" s="11" t="s">
        <v>3425</v>
      </c>
      <c r="H886" s="12"/>
      <c r="I886" s="13">
        <v>2</v>
      </c>
      <c r="J886" s="13">
        <v>1</v>
      </c>
      <c r="K886" s="14" t="str">
        <f>HYPERLINK("http://twitter.com/download/iphone","Twitter for iPhone")</f>
        <v>Twitter for iPhone</v>
      </c>
      <c r="L886" s="13">
        <v>5408</v>
      </c>
      <c r="M886" s="13">
        <v>547</v>
      </c>
      <c r="N886" s="13">
        <v>29</v>
      </c>
      <c r="O886" s="15"/>
      <c r="P886" s="6">
        <v>41381.782395833332</v>
      </c>
      <c r="Q886" s="12"/>
      <c r="R886" s="17" t="s">
        <v>3426</v>
      </c>
      <c r="S886" s="12"/>
      <c r="T886" s="12"/>
      <c r="U886" s="10" t="str">
        <f>HYPERLINK("https://pbs.twimg.com/profile_images/3559938496/63faf01c14d057f0a5c0d4d29ce1af49.jpeg","View")</f>
        <v>View</v>
      </c>
    </row>
    <row r="887" spans="1:21" ht="40.799999999999997">
      <c r="A887" s="6">
        <v>43441.720312500001</v>
      </c>
      <c r="B887" s="7" t="str">
        <f>HYPERLINK("https://twitter.com/enriquedediegov","@enriquedediegov")</f>
        <v>@enriquedediegov</v>
      </c>
      <c r="C887" s="8" t="s">
        <v>2503</v>
      </c>
      <c r="D887" s="9" t="s">
        <v>3427</v>
      </c>
      <c r="E887" s="10" t="str">
        <f>HYPERLINK("https://twitter.com/enriquedediegov/status/1071076177723441153","1071076177723441153")</f>
        <v>1071076177723441153</v>
      </c>
      <c r="F887" s="12"/>
      <c r="G887" s="12"/>
      <c r="H887" s="12"/>
      <c r="I887" s="13">
        <v>3</v>
      </c>
      <c r="J887" s="13">
        <v>4</v>
      </c>
      <c r="K887" s="14" t="str">
        <f>HYPERLINK("http://twitter.com","Twitter Web Client")</f>
        <v>Twitter Web Client</v>
      </c>
      <c r="L887" s="13">
        <v>7792</v>
      </c>
      <c r="M887" s="13">
        <v>6053</v>
      </c>
      <c r="N887" s="13">
        <v>179</v>
      </c>
      <c r="O887" s="15"/>
      <c r="P887" s="6">
        <v>41293.717129629629</v>
      </c>
      <c r="Q887" s="16" t="s">
        <v>60</v>
      </c>
      <c r="R887" s="17" t="s">
        <v>2505</v>
      </c>
      <c r="S887" s="11" t="s">
        <v>2506</v>
      </c>
      <c r="T887" s="12"/>
      <c r="U887" s="10" t="str">
        <f>HYPERLINK("https://pbs.twimg.com/profile_images/3129623790/4ae197d01442e05dee4622297c3b9642.jpeg","View")</f>
        <v>View</v>
      </c>
    </row>
    <row r="888" spans="1:21" ht="51">
      <c r="A888" s="6">
        <v>43441.719340277778</v>
      </c>
      <c r="B888" s="7" t="str">
        <f>HYPERLINK("https://twitter.com/DoctaNoticias","@DoctaNoticias")</f>
        <v>@DoctaNoticias</v>
      </c>
      <c r="C888" s="8" t="s">
        <v>3428</v>
      </c>
      <c r="D888" s="9" t="s">
        <v>3429</v>
      </c>
      <c r="E888" s="10" t="str">
        <f>HYPERLINK("https://twitter.com/DoctaNoticias/status/1071075828040155137","1071075828040155137")</f>
        <v>1071075828040155137</v>
      </c>
      <c r="F888" s="11" t="s">
        <v>3430</v>
      </c>
      <c r="G888" s="12"/>
      <c r="H888" s="12"/>
      <c r="I888" s="13">
        <v>0</v>
      </c>
      <c r="J888" s="13">
        <v>0</v>
      </c>
      <c r="K888" s="14" t="str">
        <f>HYPERLINK("https://ifttt.com","IFTTT")</f>
        <v>IFTTT</v>
      </c>
      <c r="L888" s="13">
        <v>1158</v>
      </c>
      <c r="M888" s="13">
        <v>843</v>
      </c>
      <c r="N888" s="13">
        <v>11</v>
      </c>
      <c r="O888" s="15"/>
      <c r="P888" s="6">
        <v>41696.141145833331</v>
      </c>
      <c r="Q888" s="12"/>
      <c r="R888" s="17" t="s">
        <v>3431</v>
      </c>
      <c r="S888" s="12"/>
      <c r="T888" s="12"/>
      <c r="U888" s="10" t="str">
        <f>HYPERLINK("https://pbs.twimg.com/profile_images/448625793178931200/3iAQuYCQ.png","View")</f>
        <v>View</v>
      </c>
    </row>
    <row r="889" spans="1:21" ht="61.2">
      <c r="A889" s="6">
        <v>43441.718194444446</v>
      </c>
      <c r="B889" s="7" t="str">
        <f>HYPERLINK("https://twitter.com/jjssburgos","@jjssburgos")</f>
        <v>@jjssburgos</v>
      </c>
      <c r="C889" s="8" t="s">
        <v>3432</v>
      </c>
      <c r="D889" s="9" t="s">
        <v>3433</v>
      </c>
      <c r="E889" s="10" t="str">
        <f>HYPERLINK("https://twitter.com/jjssburgos/status/1071075414087475200","1071075414087475200")</f>
        <v>1071075414087475200</v>
      </c>
      <c r="F889" s="12"/>
      <c r="G889" s="12"/>
      <c r="H889" s="12"/>
      <c r="I889" s="13">
        <v>0</v>
      </c>
      <c r="J889" s="13">
        <v>0</v>
      </c>
      <c r="K889" s="14" t="str">
        <f>HYPERLINK("http://www.facebook.com/twitter","Facebook")</f>
        <v>Facebook</v>
      </c>
      <c r="L889" s="13">
        <v>1300</v>
      </c>
      <c r="M889" s="13">
        <v>724</v>
      </c>
      <c r="N889" s="13">
        <v>52</v>
      </c>
      <c r="O889" s="15"/>
      <c r="P889" s="6">
        <v>40244.884189814817</v>
      </c>
      <c r="Q889" s="16" t="s">
        <v>2340</v>
      </c>
      <c r="R889" s="17" t="s">
        <v>3434</v>
      </c>
      <c r="S889" s="11" t="s">
        <v>3435</v>
      </c>
      <c r="T889" s="12"/>
      <c r="U889" s="10" t="str">
        <f>HYPERLINK("https://pbs.twimg.com/profile_images/878544244813832192/rJ8o6V76.jpg","View")</f>
        <v>View</v>
      </c>
    </row>
    <row r="890" spans="1:21" ht="20.399999999999999">
      <c r="A890" s="6">
        <v>43441.716435185182</v>
      </c>
      <c r="B890" s="7" t="str">
        <f>HYPERLINK("https://twitter.com/LAREVUELO53","@LAREVUELO53")</f>
        <v>@LAREVUELO53</v>
      </c>
      <c r="C890" s="8" t="s">
        <v>2437</v>
      </c>
      <c r="D890" s="9" t="s">
        <v>3436</v>
      </c>
      <c r="E890" s="10" t="str">
        <f>HYPERLINK("https://twitter.com/LAREVUELO53/status/1071074773558616064","1071074773558616064")</f>
        <v>1071074773558616064</v>
      </c>
      <c r="F890" s="11" t="s">
        <v>3437</v>
      </c>
      <c r="G890" s="12"/>
      <c r="H890" s="12"/>
      <c r="I890" s="13">
        <v>0</v>
      </c>
      <c r="J890" s="13">
        <v>0</v>
      </c>
      <c r="K890" s="14" t="str">
        <f t="shared" ref="K890:K891" si="151">HYPERLINK("http://twitter.com","Twitter Web Client")</f>
        <v>Twitter Web Client</v>
      </c>
      <c r="L890" s="13">
        <v>415</v>
      </c>
      <c r="M890" s="13">
        <v>1519</v>
      </c>
      <c r="N890" s="13">
        <v>4</v>
      </c>
      <c r="O890" s="15"/>
      <c r="P890" s="6">
        <v>40681.9059375</v>
      </c>
      <c r="Q890" s="16" t="s">
        <v>1144</v>
      </c>
      <c r="R890" s="19"/>
      <c r="S890" s="11" t="s">
        <v>2440</v>
      </c>
      <c r="T890" s="12"/>
      <c r="U890" s="10" t="str">
        <f>HYPERLINK("https://pbs.twimg.com/profile_images/719705597436960769/UB_JVe0J.jpg","View")</f>
        <v>View</v>
      </c>
    </row>
    <row r="891" spans="1:21" ht="40.799999999999997">
      <c r="A891" s="6">
        <v>43441.716168981482</v>
      </c>
      <c r="B891" s="7" t="str">
        <f>HYPERLINK("https://twitter.com/martindejos","@martindejos")</f>
        <v>@martindejos</v>
      </c>
      <c r="C891" s="8" t="s">
        <v>3438</v>
      </c>
      <c r="D891" s="9" t="s">
        <v>3439</v>
      </c>
      <c r="E891" s="10" t="str">
        <f>HYPERLINK("https://twitter.com/martindejos/status/1071074676665933824","1071074676665933824")</f>
        <v>1071074676665933824</v>
      </c>
      <c r="F891" s="11" t="s">
        <v>3440</v>
      </c>
      <c r="G891" s="12"/>
      <c r="H891" s="12"/>
      <c r="I891" s="13">
        <v>0</v>
      </c>
      <c r="J891" s="13">
        <v>0</v>
      </c>
      <c r="K891" s="14" t="str">
        <f t="shared" si="151"/>
        <v>Twitter Web Client</v>
      </c>
      <c r="L891" s="13">
        <v>136</v>
      </c>
      <c r="M891" s="13">
        <v>531</v>
      </c>
      <c r="N891" s="13">
        <v>2</v>
      </c>
      <c r="O891" s="15"/>
      <c r="P891" s="6">
        <v>41800.039317129631</v>
      </c>
      <c r="Q891" s="16" t="s">
        <v>85</v>
      </c>
      <c r="R891" s="17" t="s">
        <v>3441</v>
      </c>
      <c r="S891" s="11" t="s">
        <v>3442</v>
      </c>
      <c r="T891" s="12"/>
      <c r="U891" s="10" t="str">
        <f>HYPERLINK("https://pbs.twimg.com/profile_images/1042333644101234688/MrVB4_GY.jpg","View")</f>
        <v>View</v>
      </c>
    </row>
    <row r="892" spans="1:21" ht="51">
      <c r="A892" s="6">
        <v>43441.715590277774</v>
      </c>
      <c r="B892" s="7" t="str">
        <f>HYPERLINK("https://twitter.com/JosManuelPuent5","@JosManuelPuent5")</f>
        <v>@JosManuelPuent5</v>
      </c>
      <c r="C892" s="8" t="s">
        <v>3443</v>
      </c>
      <c r="D892" s="9" t="s">
        <v>3444</v>
      </c>
      <c r="E892" s="10" t="str">
        <f>HYPERLINK("https://twitter.com/JosManuelPuent5/status/1071074466871037952","1071074466871037952")</f>
        <v>1071074466871037952</v>
      </c>
      <c r="F892" s="12"/>
      <c r="G892" s="12"/>
      <c r="H892" s="12"/>
      <c r="I892" s="13">
        <v>1</v>
      </c>
      <c r="J892" s="13">
        <v>3</v>
      </c>
      <c r="K892" s="14" t="str">
        <f>HYPERLINK("https://mobile.twitter.com","Mobile Web (M2)")</f>
        <v>Mobile Web (M2)</v>
      </c>
      <c r="L892" s="13">
        <v>21</v>
      </c>
      <c r="M892" s="13">
        <v>142</v>
      </c>
      <c r="N892" s="13">
        <v>0</v>
      </c>
      <c r="O892" s="15"/>
      <c r="P892" s="6">
        <v>43440.424270833333</v>
      </c>
      <c r="Q892" s="16" t="s">
        <v>3445</v>
      </c>
      <c r="R892" s="19"/>
      <c r="S892" s="12"/>
      <c r="T892" s="12"/>
      <c r="U892" s="10" t="str">
        <f>HYPERLINK("https://pbs.twimg.com/profile_images/1070612087615954944/UZwOfot0.jpg","View")</f>
        <v>View</v>
      </c>
    </row>
    <row r="893" spans="1:21" ht="40.799999999999997">
      <c r="A893" s="6">
        <v>43441.714178240742</v>
      </c>
      <c r="B893" s="7" t="str">
        <f>HYPERLINK("https://twitter.com/pascualroger1","@pascualroger1")</f>
        <v>@pascualroger1</v>
      </c>
      <c r="C893" s="8" t="s">
        <v>3446</v>
      </c>
      <c r="D893" s="9" t="s">
        <v>3447</v>
      </c>
      <c r="E893" s="10" t="str">
        <f>HYPERLINK("https://twitter.com/pascualroger1/status/1071073956399067136","1071073956399067136")</f>
        <v>1071073956399067136</v>
      </c>
      <c r="F893" s="11" t="s">
        <v>1628</v>
      </c>
      <c r="G893" s="12"/>
      <c r="H893" s="12"/>
      <c r="I893" s="13">
        <v>0</v>
      </c>
      <c r="J893" s="13">
        <v>0</v>
      </c>
      <c r="K893" s="14" t="str">
        <f>HYPERLINK("http://twitter.com","Twitter Web Client")</f>
        <v>Twitter Web Client</v>
      </c>
      <c r="L893" s="13">
        <v>906</v>
      </c>
      <c r="M893" s="13">
        <v>2148</v>
      </c>
      <c r="N893" s="13">
        <v>13</v>
      </c>
      <c r="O893" s="15"/>
      <c r="P893" s="6">
        <v>43341.864224537036</v>
      </c>
      <c r="Q893" s="12"/>
      <c r="R893" s="17" t="s">
        <v>3448</v>
      </c>
      <c r="S893" s="12"/>
      <c r="T893" s="12"/>
      <c r="U893" s="10" t="str">
        <f>HYPERLINK("https://pbs.twimg.com/profile_images/1034877419927347205/WZ3ty6cZ.jpg","View")</f>
        <v>View</v>
      </c>
    </row>
    <row r="894" spans="1:21" ht="40.799999999999997">
      <c r="A894" s="6">
        <v>43441.711493055554</v>
      </c>
      <c r="B894" s="7" t="str">
        <f>HYPERLINK("https://twitter.com/AdeSiracusa","@AdeSiracusa")</f>
        <v>@AdeSiracusa</v>
      </c>
      <c r="C894" s="8" t="s">
        <v>1243</v>
      </c>
      <c r="D894" s="9" t="s">
        <v>3449</v>
      </c>
      <c r="E894" s="10" t="str">
        <f>HYPERLINK("https://twitter.com/AdeSiracusa/status/1071072983744163841","1071072983744163841")</f>
        <v>1071072983744163841</v>
      </c>
      <c r="F894" s="11" t="s">
        <v>3450</v>
      </c>
      <c r="G894" s="12"/>
      <c r="H894" s="12"/>
      <c r="I894" s="13">
        <v>0</v>
      </c>
      <c r="J894" s="13">
        <v>0</v>
      </c>
      <c r="K894" s="14" t="str">
        <f>HYPERLINK("http://www.republicosvenezuela.com/","AdeSiracusa")</f>
        <v>AdeSiracusa</v>
      </c>
      <c r="L894" s="13">
        <v>4091</v>
      </c>
      <c r="M894" s="13">
        <v>4122</v>
      </c>
      <c r="N894" s="13">
        <v>12</v>
      </c>
      <c r="O894" s="15"/>
      <c r="P894" s="6">
        <v>42958.576388888891</v>
      </c>
      <c r="Q894" s="16" t="s">
        <v>276</v>
      </c>
      <c r="R894" s="17" t="s">
        <v>1246</v>
      </c>
      <c r="S894" s="12"/>
      <c r="T894" s="12"/>
      <c r="U894" s="10" t="str">
        <f>HYPERLINK("https://pbs.twimg.com/profile_images/895978354591105024/x2wNXrPl.jpg","View")</f>
        <v>View</v>
      </c>
    </row>
    <row r="895" spans="1:21" ht="51">
      <c r="A895" s="6">
        <v>43441.711400462962</v>
      </c>
      <c r="B895" s="7" t="str">
        <f>HYPERLINK("https://twitter.com/AngelBaena5","@AngelBaena5")</f>
        <v>@AngelBaena5</v>
      </c>
      <c r="C895" s="8" t="s">
        <v>3451</v>
      </c>
      <c r="D895" s="9" t="s">
        <v>3452</v>
      </c>
      <c r="E895" s="10" t="str">
        <f>HYPERLINK("https://twitter.com/AngelBaena5/status/1071072950734983169","1071072950734983169")</f>
        <v>1071072950734983169</v>
      </c>
      <c r="F895" s="11" t="s">
        <v>2954</v>
      </c>
      <c r="G895" s="12"/>
      <c r="H895" s="12"/>
      <c r="I895" s="13">
        <v>39</v>
      </c>
      <c r="J895" s="13">
        <v>50</v>
      </c>
      <c r="K895" s="14" t="str">
        <f>HYPERLINK("http://twitter.com","Twitter Web Client")</f>
        <v>Twitter Web Client</v>
      </c>
      <c r="L895" s="13">
        <v>5404</v>
      </c>
      <c r="M895" s="13">
        <v>2719</v>
      </c>
      <c r="N895" s="13">
        <v>34</v>
      </c>
      <c r="O895" s="15"/>
      <c r="P895" s="6">
        <v>41603.768333333333</v>
      </c>
      <c r="Q895" s="16" t="s">
        <v>325</v>
      </c>
      <c r="R895" s="17" t="s">
        <v>3453</v>
      </c>
      <c r="S895" s="12"/>
      <c r="T895" s="12"/>
      <c r="U895" s="10" t="str">
        <f>HYPERLINK("https://pbs.twimg.com/profile_images/378800000789831899/83471b78a5be2040937c8f90ba9b5fa8.jpeg","View")</f>
        <v>View</v>
      </c>
    </row>
    <row r="896" spans="1:21" ht="51">
      <c r="A896" s="6">
        <v>43441.709849537037</v>
      </c>
      <c r="B896" s="7" t="str">
        <f>HYPERLINK("https://twitter.com/ODCucharadePalo","@ODCucharadePalo")</f>
        <v>@ODCucharadePalo</v>
      </c>
      <c r="C896" s="8" t="s">
        <v>3454</v>
      </c>
      <c r="D896" s="9" t="s">
        <v>3455</v>
      </c>
      <c r="E896" s="10" t="str">
        <f>HYPERLINK("https://twitter.com/ODCucharadePalo/status/1071072388706635776","1071072388706635776")</f>
        <v>1071072388706635776</v>
      </c>
      <c r="F896" s="12"/>
      <c r="G896" s="11" t="s">
        <v>3456</v>
      </c>
      <c r="H896" s="12"/>
      <c r="I896" s="13">
        <v>3</v>
      </c>
      <c r="J896" s="13">
        <v>5</v>
      </c>
      <c r="K896" s="14" t="str">
        <f>HYPERLINK("http://twitter.com/download/android","Twitter for Android")</f>
        <v>Twitter for Android</v>
      </c>
      <c r="L896" s="13">
        <v>33</v>
      </c>
      <c r="M896" s="13">
        <v>115</v>
      </c>
      <c r="N896" s="13">
        <v>0</v>
      </c>
      <c r="O896" s="15"/>
      <c r="P896" s="6">
        <v>43435.805312500001</v>
      </c>
      <c r="Q896" s="12"/>
      <c r="R896" s="17" t="s">
        <v>3457</v>
      </c>
      <c r="S896" s="11" t="s">
        <v>3458</v>
      </c>
      <c r="T896" s="12"/>
      <c r="U896" s="10" t="str">
        <f>HYPERLINK("https://pbs.twimg.com/profile_images/1068937663074455552/SduJbylM.jpg","View")</f>
        <v>View</v>
      </c>
    </row>
    <row r="897" spans="1:21" ht="30.6">
      <c r="A897" s="6">
        <v>43441.709756944445</v>
      </c>
      <c r="B897" s="7" t="str">
        <f>HYPERLINK("https://twitter.com/elperiodico","@elperiodico")</f>
        <v>@elperiodico</v>
      </c>
      <c r="C897" s="8" t="s">
        <v>1714</v>
      </c>
      <c r="D897" s="9" t="s">
        <v>3459</v>
      </c>
      <c r="E897" s="10" t="str">
        <f>HYPERLINK("https://twitter.com/elperiodico/status/1071072354346958848","1071072354346958848")</f>
        <v>1071072354346958848</v>
      </c>
      <c r="F897" s="11" t="s">
        <v>3460</v>
      </c>
      <c r="G897" s="12"/>
      <c r="H897" s="12"/>
      <c r="I897" s="13">
        <v>1</v>
      </c>
      <c r="J897" s="13">
        <v>1</v>
      </c>
      <c r="K897" s="14" t="str">
        <f>HYPERLINK("http://dogtrack.es","DogTrack_Oficial")</f>
        <v>DogTrack_Oficial</v>
      </c>
      <c r="L897" s="13">
        <v>598023</v>
      </c>
      <c r="M897" s="13">
        <v>18495</v>
      </c>
      <c r="N897" s="13">
        <v>6944</v>
      </c>
      <c r="O897" s="18" t="s">
        <v>41</v>
      </c>
      <c r="P897" s="6">
        <v>40456.539560185185</v>
      </c>
      <c r="Q897" s="16" t="s">
        <v>85</v>
      </c>
      <c r="R897" s="17" t="s">
        <v>1716</v>
      </c>
      <c r="S897" s="11" t="s">
        <v>1717</v>
      </c>
      <c r="T897" s="12"/>
      <c r="U897" s="10" t="str">
        <f>HYPERLINK("https://pbs.twimg.com/profile_images/876802324135653377/s4G6oS9o.jpg","View")</f>
        <v>View</v>
      </c>
    </row>
    <row r="898" spans="1:21" ht="20.399999999999999">
      <c r="A898" s="6">
        <v>43441.708854166667</v>
      </c>
      <c r="B898" s="7" t="str">
        <f>HYPERLINK("https://twitter.com/calcazar30","@calcazar30")</f>
        <v>@calcazar30</v>
      </c>
      <c r="C898" s="8" t="s">
        <v>3461</v>
      </c>
      <c r="D898" s="9" t="s">
        <v>1175</v>
      </c>
      <c r="E898" s="10" t="str">
        <f>HYPERLINK("https://twitter.com/calcazar30/status/1071072026914361344","1071072026914361344")</f>
        <v>1071072026914361344</v>
      </c>
      <c r="F898" s="11" t="s">
        <v>1176</v>
      </c>
      <c r="G898" s="12"/>
      <c r="H898" s="12"/>
      <c r="I898" s="13">
        <v>0</v>
      </c>
      <c r="J898" s="13">
        <v>0</v>
      </c>
      <c r="K898" s="14" t="str">
        <f>HYPERLINK("http://twitter.com","Twitter Web Client")</f>
        <v>Twitter Web Client</v>
      </c>
      <c r="L898" s="13">
        <v>935</v>
      </c>
      <c r="M898" s="13">
        <v>1084</v>
      </c>
      <c r="N898" s="13">
        <v>40</v>
      </c>
      <c r="O898" s="15"/>
      <c r="P898" s="6">
        <v>41256.810150462959</v>
      </c>
      <c r="Q898" s="16" t="s">
        <v>119</v>
      </c>
      <c r="R898" s="17" t="s">
        <v>3462</v>
      </c>
      <c r="S898" s="12"/>
      <c r="T898" s="12"/>
      <c r="U898" s="10" t="str">
        <f>HYPERLINK("https://pbs.twimg.com/profile_images/1071077357090496513/c9rpiMVr.jpg","View")</f>
        <v>View</v>
      </c>
    </row>
    <row r="899" spans="1:21" ht="30.6">
      <c r="A899" s="6">
        <v>43441.708125000005</v>
      </c>
      <c r="B899" s="7" t="str">
        <f>HYPERLINK("https://twitter.com/azorka13yahooe1","@azorka13yahooe1")</f>
        <v>@azorka13yahooe1</v>
      </c>
      <c r="C899" s="8" t="s">
        <v>3463</v>
      </c>
      <c r="D899" s="9" t="s">
        <v>575</v>
      </c>
      <c r="E899" s="10" t="str">
        <f>HYPERLINK("https://twitter.com/azorka13yahooe1/status/1071071763482796033","1071071763482796033")</f>
        <v>1071071763482796033</v>
      </c>
      <c r="F899" s="11" t="s">
        <v>576</v>
      </c>
      <c r="G899" s="12"/>
      <c r="H899" s="12"/>
      <c r="I899" s="13">
        <v>0</v>
      </c>
      <c r="J899" s="13">
        <v>2</v>
      </c>
      <c r="K899" s="14" t="str">
        <f>HYPERLINK("http://twitter.com/download/iphone","Twitter for iPhone")</f>
        <v>Twitter for iPhone</v>
      </c>
      <c r="L899" s="13">
        <v>224</v>
      </c>
      <c r="M899" s="13">
        <v>617</v>
      </c>
      <c r="N899" s="13">
        <v>0</v>
      </c>
      <c r="O899" s="15"/>
      <c r="P899" s="6">
        <v>43361.94798611111</v>
      </c>
      <c r="Q899" s="16" t="s">
        <v>3464</v>
      </c>
      <c r="R899" s="17" t="s">
        <v>3465</v>
      </c>
      <c r="S899" s="12"/>
      <c r="T899" s="12"/>
      <c r="U899" s="10" t="str">
        <f>HYPERLINK("https://pbs.twimg.com/profile_images/1044875240667574273/5kzDqZTl.jpg","View")</f>
        <v>View</v>
      </c>
    </row>
    <row r="900" spans="1:21" ht="30.6">
      <c r="A900" s="6">
        <v>43441.706979166665</v>
      </c>
      <c r="B900" s="7" t="str">
        <f>HYPERLINK("https://twitter.com/ejutv","@ejutv")</f>
        <v>@ejutv</v>
      </c>
      <c r="C900" s="20" t="s">
        <v>3466</v>
      </c>
      <c r="D900" s="9" t="s">
        <v>3467</v>
      </c>
      <c r="E900" s="10" t="str">
        <f>HYPERLINK("https://twitter.com/ejutv/status/1071071346552135682","1071071346552135682")</f>
        <v>1071071346552135682</v>
      </c>
      <c r="F900" s="11" t="s">
        <v>3468</v>
      </c>
      <c r="G900" s="11" t="s">
        <v>3469</v>
      </c>
      <c r="H900" s="12"/>
      <c r="I900" s="13">
        <v>0</v>
      </c>
      <c r="J900" s="13">
        <v>0</v>
      </c>
      <c r="K900" s="14" t="str">
        <f>HYPERLINK("http://eju.tv","eju.tv")</f>
        <v>eju.tv</v>
      </c>
      <c r="L900" s="13">
        <v>13780</v>
      </c>
      <c r="M900" s="13">
        <v>10</v>
      </c>
      <c r="N900" s="13">
        <v>222</v>
      </c>
      <c r="O900" s="15"/>
      <c r="P900" s="6">
        <v>39907.445300925923</v>
      </c>
      <c r="Q900" s="16" t="s">
        <v>3470</v>
      </c>
      <c r="R900" s="17" t="s">
        <v>3471</v>
      </c>
      <c r="S900" s="11" t="s">
        <v>3472</v>
      </c>
      <c r="T900" s="12"/>
      <c r="U900" s="10" t="str">
        <f>HYPERLINK("https://pbs.twimg.com/profile_images/1123334039/logo_abreviado.png","View")</f>
        <v>View</v>
      </c>
    </row>
    <row r="901" spans="1:21" ht="20.399999999999999">
      <c r="A901" s="6">
        <v>43441.706701388888</v>
      </c>
      <c r="B901" s="7" t="str">
        <f>HYPERLINK("https://twitter.com/KatheCorM","@KatheCorM")</f>
        <v>@KatheCorM</v>
      </c>
      <c r="C901" s="8" t="s">
        <v>3473</v>
      </c>
      <c r="D901" s="9" t="s">
        <v>2092</v>
      </c>
      <c r="E901" s="10" t="str">
        <f>HYPERLINK("https://twitter.com/KatheCorM/status/1071071248141053952","1071071248141053952")</f>
        <v>1071071248141053952</v>
      </c>
      <c r="F901" s="16" t="s">
        <v>3474</v>
      </c>
      <c r="G901" s="12"/>
      <c r="H901" s="12"/>
      <c r="I901" s="13">
        <v>0</v>
      </c>
      <c r="J901" s="13">
        <v>0</v>
      </c>
      <c r="K901" s="14" t="str">
        <f>HYPERLINK("https://dlvrit.com/","dlvr.it")</f>
        <v>dlvr.it</v>
      </c>
      <c r="L901" s="13">
        <v>6</v>
      </c>
      <c r="M901" s="13">
        <v>37</v>
      </c>
      <c r="N901" s="13">
        <v>0</v>
      </c>
      <c r="O901" s="15"/>
      <c r="P901" s="6">
        <v>42957.489131944443</v>
      </c>
      <c r="Q901" s="16" t="s">
        <v>871</v>
      </c>
      <c r="R901" s="17" t="s">
        <v>3475</v>
      </c>
      <c r="S901" s="12"/>
      <c r="T901" s="12"/>
      <c r="U901" s="10" t="str">
        <f>HYPERLINK("https://pbs.twimg.com/profile_images/1006896736399265792/eUBsQG90.jpg","View")</f>
        <v>View</v>
      </c>
    </row>
    <row r="902" spans="1:21" ht="40.799999999999997">
      <c r="A902" s="6">
        <v>43441.705694444448</v>
      </c>
      <c r="B902" s="7" t="str">
        <f>HYPERLINK("https://twitter.com/malaquita65","@malaquita65")</f>
        <v>@malaquita65</v>
      </c>
      <c r="C902" s="8" t="s">
        <v>3476</v>
      </c>
      <c r="D902" s="9" t="s">
        <v>1175</v>
      </c>
      <c r="E902" s="10" t="str">
        <f>HYPERLINK("https://twitter.com/malaquita65/status/1071070881252818955","1071070881252818955")</f>
        <v>1071070881252818955</v>
      </c>
      <c r="F902" s="11" t="s">
        <v>1176</v>
      </c>
      <c r="G902" s="12"/>
      <c r="H902" s="12"/>
      <c r="I902" s="13">
        <v>1</v>
      </c>
      <c r="J902" s="13">
        <v>1</v>
      </c>
      <c r="K902" s="14" t="str">
        <f>HYPERLINK("http://twitter.com/download/android","Twitter for Android")</f>
        <v>Twitter for Android</v>
      </c>
      <c r="L902" s="13">
        <v>6012</v>
      </c>
      <c r="M902" s="13">
        <v>4309</v>
      </c>
      <c r="N902" s="13">
        <v>89</v>
      </c>
      <c r="O902" s="15"/>
      <c r="P902" s="6">
        <v>40784.585601851853</v>
      </c>
      <c r="Q902" s="16" t="s">
        <v>1136</v>
      </c>
      <c r="R902" s="17" t="s">
        <v>3477</v>
      </c>
      <c r="S902" s="12"/>
      <c r="T902" s="12"/>
      <c r="U902" s="10" t="str">
        <f>HYPERLINK("https://pbs.twimg.com/profile_images/1063529926433939459/IfX_aAx1.jpg","View")</f>
        <v>View</v>
      </c>
    </row>
    <row r="903" spans="1:21" ht="30.6">
      <c r="A903" s="6">
        <v>43441.705439814818</v>
      </c>
      <c r="B903" s="7" t="str">
        <f>HYPERLINK("https://twitter.com/AntoniolaLEY","@AntoniolaLEY")</f>
        <v>@AntoniolaLEY</v>
      </c>
      <c r="C903" s="8" t="s">
        <v>3478</v>
      </c>
      <c r="D903" s="9" t="s">
        <v>3479</v>
      </c>
      <c r="E903" s="10" t="str">
        <f>HYPERLINK("https://twitter.com/AntoniolaLEY/status/1071070788223201280","1071070788223201280")</f>
        <v>1071070788223201280</v>
      </c>
      <c r="F903" s="11" t="s">
        <v>576</v>
      </c>
      <c r="G903" s="12"/>
      <c r="H903" s="12"/>
      <c r="I903" s="13">
        <v>1</v>
      </c>
      <c r="J903" s="13">
        <v>4</v>
      </c>
      <c r="K903" s="14" t="str">
        <f>HYPERLINK("http://twitter.com","Twitter Web Client")</f>
        <v>Twitter Web Client</v>
      </c>
      <c r="L903" s="13">
        <v>4338</v>
      </c>
      <c r="M903" s="13">
        <v>4262</v>
      </c>
      <c r="N903" s="13">
        <v>14</v>
      </c>
      <c r="O903" s="15"/>
      <c r="P903" s="6">
        <v>43046.811979166669</v>
      </c>
      <c r="Q903" s="12"/>
      <c r="R903" s="19"/>
      <c r="S903" s="12"/>
      <c r="T903" s="12"/>
      <c r="U903" s="10" t="str">
        <f>HYPERLINK("https://pbs.twimg.com/profile_images/952644898653704192/v0s_mnIf.jpg","View")</f>
        <v>View</v>
      </c>
    </row>
    <row r="904" spans="1:21" ht="40.799999999999997">
      <c r="A904" s="6">
        <v>43441.704027777778</v>
      </c>
      <c r="B904" s="7" t="str">
        <f>HYPERLINK("https://twitter.com/elojoqueves","@elojoqueves")</f>
        <v>@elojoqueves</v>
      </c>
      <c r="C904" s="8" t="s">
        <v>3480</v>
      </c>
      <c r="D904" s="9" t="s">
        <v>3481</v>
      </c>
      <c r="E904" s="10" t="str">
        <f>HYPERLINK("https://twitter.com/elojoqueves/status/1071070280116772865","1071070280116772865")</f>
        <v>1071070280116772865</v>
      </c>
      <c r="F904" s="11" t="s">
        <v>2938</v>
      </c>
      <c r="G904" s="12"/>
      <c r="H904" s="12"/>
      <c r="I904" s="13">
        <v>1</v>
      </c>
      <c r="J904" s="13">
        <v>2</v>
      </c>
      <c r="K904" s="14" t="str">
        <f>HYPERLINK("http://twitter.com/download/iphone","Twitter for iPhone")</f>
        <v>Twitter for iPhone</v>
      </c>
      <c r="L904" s="13">
        <v>1723</v>
      </c>
      <c r="M904" s="13">
        <v>380</v>
      </c>
      <c r="N904" s="13">
        <v>90</v>
      </c>
      <c r="O904" s="15"/>
      <c r="P904" s="6">
        <v>40413.333252314813</v>
      </c>
      <c r="Q904" s="16" t="s">
        <v>3482</v>
      </c>
      <c r="R904" s="17" t="s">
        <v>3483</v>
      </c>
      <c r="S904" s="11" t="s">
        <v>3484</v>
      </c>
      <c r="T904" s="12"/>
      <c r="U904" s="10" t="str">
        <f>HYPERLINK("https://pbs.twimg.com/profile_images/1061286136008638465/mmU3UNVU.jpg","View")</f>
        <v>View</v>
      </c>
    </row>
    <row r="905" spans="1:21" ht="20.399999999999999">
      <c r="A905" s="6">
        <v>43441.702997685185</v>
      </c>
      <c r="B905" s="7" t="str">
        <f t="shared" ref="B905:B906" si="152">HYPERLINK("https://twitter.com/EP_Mundo","@EP_Mundo")</f>
        <v>@EP_Mundo</v>
      </c>
      <c r="C905" s="8" t="s">
        <v>735</v>
      </c>
      <c r="D905" s="9" t="s">
        <v>736</v>
      </c>
      <c r="E905" s="10" t="str">
        <f>HYPERLINK("https://twitter.com/EP_Mundo/status/1071069906358161408","1071069906358161408")</f>
        <v>1071069906358161408</v>
      </c>
      <c r="F905" s="11" t="s">
        <v>737</v>
      </c>
      <c r="G905" s="11" t="s">
        <v>3485</v>
      </c>
      <c r="H905" s="12"/>
      <c r="I905" s="13">
        <v>0</v>
      </c>
      <c r="J905" s="13">
        <v>0</v>
      </c>
      <c r="K905" s="14" t="str">
        <f t="shared" ref="K905:K906" si="153">HYPERLINK("http://epmundo.com","Tuiteo TOP EP (2)")</f>
        <v>Tuiteo TOP EP (2)</v>
      </c>
      <c r="L905" s="13">
        <v>510220</v>
      </c>
      <c r="M905" s="13">
        <v>301867</v>
      </c>
      <c r="N905" s="13">
        <v>1363</v>
      </c>
      <c r="O905" s="15"/>
      <c r="P905" s="6">
        <v>40203.223078703704</v>
      </c>
      <c r="Q905" s="12"/>
      <c r="R905" s="17" t="s">
        <v>739</v>
      </c>
      <c r="S905" s="11" t="s">
        <v>740</v>
      </c>
      <c r="T905" s="12"/>
      <c r="U905" s="10" t="str">
        <f t="shared" ref="U905:U906" si="154">HYPERLINK("https://pbs.twimg.com/profile_images/958329583778099200/87-xiuzB.jpg","View")</f>
        <v>View</v>
      </c>
    </row>
    <row r="906" spans="1:21" ht="20.399999999999999">
      <c r="A906" s="6">
        <v>43441.7028125</v>
      </c>
      <c r="B906" s="7" t="str">
        <f t="shared" si="152"/>
        <v>@EP_Mundo</v>
      </c>
      <c r="C906" s="8" t="s">
        <v>735</v>
      </c>
      <c r="D906" s="9" t="s">
        <v>2756</v>
      </c>
      <c r="E906" s="10" t="str">
        <f>HYPERLINK("https://twitter.com/EP_Mundo/status/1071069838158848000","1071069838158848000")</f>
        <v>1071069838158848000</v>
      </c>
      <c r="F906" s="11" t="s">
        <v>2757</v>
      </c>
      <c r="G906" s="11" t="s">
        <v>3487</v>
      </c>
      <c r="H906" s="12"/>
      <c r="I906" s="13">
        <v>0</v>
      </c>
      <c r="J906" s="13">
        <v>0</v>
      </c>
      <c r="K906" s="14" t="str">
        <f t="shared" si="153"/>
        <v>Tuiteo TOP EP (2)</v>
      </c>
      <c r="L906" s="13">
        <v>510220</v>
      </c>
      <c r="M906" s="13">
        <v>301867</v>
      </c>
      <c r="N906" s="13">
        <v>1363</v>
      </c>
      <c r="O906" s="15"/>
      <c r="P906" s="6">
        <v>40203.223078703704</v>
      </c>
      <c r="Q906" s="12"/>
      <c r="R906" s="17" t="s">
        <v>739</v>
      </c>
      <c r="S906" s="11" t="s">
        <v>740</v>
      </c>
      <c r="T906" s="12"/>
      <c r="U906" s="10" t="str">
        <f t="shared" si="154"/>
        <v>View</v>
      </c>
    </row>
    <row r="907" spans="1:21" ht="51">
      <c r="A907" s="6">
        <v>43441.702662037038</v>
      </c>
      <c r="B907" s="7" t="str">
        <f>HYPERLINK("https://twitter.com/sanchezfornet","@sanchezfornet")</f>
        <v>@sanchezfornet</v>
      </c>
      <c r="C907" s="8" t="s">
        <v>3488</v>
      </c>
      <c r="D907" s="9" t="s">
        <v>3490</v>
      </c>
      <c r="E907" s="10" t="str">
        <f>HYPERLINK("https://twitter.com/sanchezfornet/status/1071069782890475523","1071069782890475523")</f>
        <v>1071069782890475523</v>
      </c>
      <c r="F907" s="12"/>
      <c r="G907" s="12"/>
      <c r="H907" s="12"/>
      <c r="I907" s="13">
        <v>0</v>
      </c>
      <c r="J907" s="13">
        <v>2</v>
      </c>
      <c r="K907" s="14" t="str">
        <f>HYPERLINK("http://twitter.com/download/iphone","Twitter for iPhone")</f>
        <v>Twitter for iPhone</v>
      </c>
      <c r="L907" s="13">
        <v>11142</v>
      </c>
      <c r="M907" s="13">
        <v>909</v>
      </c>
      <c r="N907" s="13">
        <v>195</v>
      </c>
      <c r="O907" s="15"/>
      <c r="P907" s="6">
        <v>40855.37840277778</v>
      </c>
      <c r="Q907" s="12"/>
      <c r="R907" s="17" t="s">
        <v>3491</v>
      </c>
      <c r="S907" s="11" t="s">
        <v>3492</v>
      </c>
      <c r="T907" s="12"/>
      <c r="U907" s="10" t="str">
        <f>HYPERLINK("https://pbs.twimg.com/profile_images/1061332279744782342/-VR3t5Qx.jpg","View")</f>
        <v>View</v>
      </c>
    </row>
    <row r="908" spans="1:21" ht="20.399999999999999">
      <c r="A908" s="6">
        <v>43441.702291666668</v>
      </c>
      <c r="B908" s="7" t="str">
        <f>HYPERLINK("https://twitter.com/jcarlosmoreno73","@jcarlosmoreno73")</f>
        <v>@jcarlosmoreno73</v>
      </c>
      <c r="C908" s="8" t="s">
        <v>3493</v>
      </c>
      <c r="D908" s="9" t="s">
        <v>3494</v>
      </c>
      <c r="E908" s="10" t="str">
        <f>HYPERLINK("https://twitter.com/jcarlosmoreno73/status/1071069650069454848","1071069650069454848")</f>
        <v>1071069650069454848</v>
      </c>
      <c r="F908" s="11" t="s">
        <v>3495</v>
      </c>
      <c r="G908" s="12"/>
      <c r="H908" s="12"/>
      <c r="I908" s="13">
        <v>0</v>
      </c>
      <c r="J908" s="13">
        <v>0</v>
      </c>
      <c r="K908" s="14" t="str">
        <f>HYPERLINK("http://twitter.com/download/android","Twitter for Android")</f>
        <v>Twitter for Android</v>
      </c>
      <c r="L908" s="13">
        <v>300</v>
      </c>
      <c r="M908" s="13">
        <v>311</v>
      </c>
      <c r="N908" s="13">
        <v>1</v>
      </c>
      <c r="O908" s="15"/>
      <c r="P908" s="6">
        <v>40400.049039351856</v>
      </c>
      <c r="Q908" s="12"/>
      <c r="R908" s="17" t="s">
        <v>3496</v>
      </c>
      <c r="S908" s="12"/>
      <c r="T908" s="12"/>
      <c r="U908" s="10" t="str">
        <f>HYPERLINK("https://pbs.twimg.com/profile_images/906174570264219649/hDaoWH8l.jpg","View")</f>
        <v>View</v>
      </c>
    </row>
    <row r="909" spans="1:21" ht="20.399999999999999">
      <c r="A909" s="6">
        <v>43441.700682870374</v>
      </c>
      <c r="B909" s="7" t="str">
        <f>HYPERLINK("https://twitter.com/NotiAdictos","@NotiAdictos")</f>
        <v>@NotiAdictos</v>
      </c>
      <c r="C909" s="8" t="s">
        <v>770</v>
      </c>
      <c r="D909" s="9" t="s">
        <v>714</v>
      </c>
      <c r="E909" s="10" t="str">
        <f>HYPERLINK("https://twitter.com/NotiAdictos/status/1071069066125864962","1071069066125864962")</f>
        <v>1071069066125864962</v>
      </c>
      <c r="F909" s="11" t="s">
        <v>715</v>
      </c>
      <c r="G909" s="11" t="s">
        <v>3497</v>
      </c>
      <c r="H909" s="12"/>
      <c r="I909" s="13">
        <v>0</v>
      </c>
      <c r="J909" s="13">
        <v>0</v>
      </c>
      <c r="K909" s="14" t="str">
        <f>HYPERLINK("http://epmundo.com","Tuiteo TOP EP (3)")</f>
        <v>Tuiteo TOP EP (3)</v>
      </c>
      <c r="L909" s="13">
        <v>51774</v>
      </c>
      <c r="M909" s="13">
        <v>52978</v>
      </c>
      <c r="N909" s="13">
        <v>133</v>
      </c>
      <c r="O909" s="15"/>
      <c r="P909" s="6">
        <v>42166.14534722222</v>
      </c>
      <c r="Q909" s="12"/>
      <c r="R909" s="17" t="s">
        <v>772</v>
      </c>
      <c r="S909" s="12"/>
      <c r="T909" s="12"/>
      <c r="U909" s="10" t="str">
        <f>HYPERLINK("https://pbs.twimg.com/profile_images/913079381358243842/XvuFiomi.jpg","View")</f>
        <v>View</v>
      </c>
    </row>
    <row r="910" spans="1:21" ht="40.799999999999997">
      <c r="A910" s="6">
        <v>43441.700520833328</v>
      </c>
      <c r="B910" s="7" t="str">
        <f>HYPERLINK("https://twitter.com/ancabocristiano","@ancabocristiano")</f>
        <v>@ancabocristiano</v>
      </c>
      <c r="C910" s="8" t="s">
        <v>89</v>
      </c>
      <c r="D910" s="9" t="s">
        <v>3498</v>
      </c>
      <c r="E910" s="10" t="str">
        <f>HYPERLINK("https://twitter.com/ancabocristiano/status/1071069009112678401","1071069009112678401")</f>
        <v>1071069009112678401</v>
      </c>
      <c r="F910" s="11" t="s">
        <v>246</v>
      </c>
      <c r="G910" s="12"/>
      <c r="H910" s="12"/>
      <c r="I910" s="13">
        <v>0</v>
      </c>
      <c r="J910" s="13">
        <v>0</v>
      </c>
      <c r="K910" s="14" t="str">
        <f>HYPERLINK("http://twitter.com","Twitter Web Client")</f>
        <v>Twitter Web Client</v>
      </c>
      <c r="L910" s="13">
        <v>723</v>
      </c>
      <c r="M910" s="13">
        <v>1175</v>
      </c>
      <c r="N910" s="13">
        <v>16</v>
      </c>
      <c r="O910" s="15"/>
      <c r="P910" s="6">
        <v>40589.012638888889</v>
      </c>
      <c r="Q910" s="16" t="s">
        <v>93</v>
      </c>
      <c r="R910" s="17" t="s">
        <v>94</v>
      </c>
      <c r="S910" s="12"/>
      <c r="T910" s="12"/>
      <c r="U910" s="10" t="str">
        <f>HYPERLINK("https://pbs.twimg.com/profile_images/1498277119/Antonio_Twiter.JPG","View")</f>
        <v>View</v>
      </c>
    </row>
    <row r="911" spans="1:21" ht="40.799999999999997">
      <c r="A911" s="6">
        <v>43441.700254629628</v>
      </c>
      <c r="B911" s="7" t="str">
        <f>HYPERLINK("https://twitter.com/Miguelquinta","@Miguelquinta")</f>
        <v>@Miguelquinta</v>
      </c>
      <c r="C911" s="8" t="s">
        <v>3499</v>
      </c>
      <c r="D911" s="9" t="s">
        <v>3317</v>
      </c>
      <c r="E911" s="10" t="str">
        <f>HYPERLINK("https://twitter.com/Miguelquinta/status/1071068912719142913","1071068912719142913")</f>
        <v>1071068912719142913</v>
      </c>
      <c r="F911" s="11" t="s">
        <v>3500</v>
      </c>
      <c r="G911" s="12"/>
      <c r="H911" s="12"/>
      <c r="I911" s="13">
        <v>0</v>
      </c>
      <c r="J911" s="13">
        <v>0</v>
      </c>
      <c r="K911" s="14" t="str">
        <f>HYPERLINK("http://www.facebook.com/twitter","Facebook")</f>
        <v>Facebook</v>
      </c>
      <c r="L911" s="13">
        <v>301</v>
      </c>
      <c r="M911" s="13">
        <v>558</v>
      </c>
      <c r="N911" s="13">
        <v>3</v>
      </c>
      <c r="O911" s="15"/>
      <c r="P911" s="6">
        <v>40768.388657407406</v>
      </c>
      <c r="Q911" s="16" t="s">
        <v>60</v>
      </c>
      <c r="R911" s="17" t="s">
        <v>3502</v>
      </c>
      <c r="S911" s="11" t="s">
        <v>3503</v>
      </c>
      <c r="T911" s="12"/>
      <c r="U911" s="10" t="str">
        <f>HYPERLINK("https://pbs.twimg.com/profile_images/886995760612552705/Jc4W3uLZ.jpg","View")</f>
        <v>View</v>
      </c>
    </row>
    <row r="912" spans="1:21" ht="20.399999999999999">
      <c r="A912" s="6">
        <v>43441.70008101852</v>
      </c>
      <c r="B912" s="7" t="str">
        <f>HYPERLINK("https://twitter.com/CristoFeliz1","@CristoFeliz1")</f>
        <v>@CristoFeliz1</v>
      </c>
      <c r="C912" s="8" t="s">
        <v>646</v>
      </c>
      <c r="D912" s="9" t="s">
        <v>3012</v>
      </c>
      <c r="E912" s="10" t="str">
        <f>HYPERLINK("https://twitter.com/CristoFeliz1/status/1071068849259241472","1071068849259241472")</f>
        <v>1071068849259241472</v>
      </c>
      <c r="F912" s="11" t="s">
        <v>3505</v>
      </c>
      <c r="G912" s="11" t="s">
        <v>3506</v>
      </c>
      <c r="H912" s="12"/>
      <c r="I912" s="13">
        <v>0</v>
      </c>
      <c r="J912" s="13">
        <v>1</v>
      </c>
      <c r="K912" s="14" t="str">
        <f>HYPERLINK("https://dlvrit.com/","dlvr.it")</f>
        <v>dlvr.it</v>
      </c>
      <c r="L912" s="13">
        <v>7015</v>
      </c>
      <c r="M912" s="13">
        <v>7733</v>
      </c>
      <c r="N912" s="13">
        <v>561</v>
      </c>
      <c r="O912" s="15"/>
      <c r="P912" s="6">
        <v>41186.866469907407</v>
      </c>
      <c r="Q912" s="16" t="s">
        <v>630</v>
      </c>
      <c r="R912" s="17" t="s">
        <v>649</v>
      </c>
      <c r="S912" s="12"/>
      <c r="T912" s="12"/>
      <c r="U912" s="10" t="str">
        <f>HYPERLINK("https://pbs.twimg.com/profile_images/1002564938911703040/1Wvxy6Jm.jpg","View")</f>
        <v>View</v>
      </c>
    </row>
    <row r="913" spans="1:21" ht="30.6">
      <c r="A913" s="6">
        <v>43441.698229166665</v>
      </c>
      <c r="B913" s="7" t="str">
        <f>HYPERLINK("https://twitter.com/Gungir1","@Gungir1")</f>
        <v>@Gungir1</v>
      </c>
      <c r="C913" s="8" t="s">
        <v>3507</v>
      </c>
      <c r="D913" s="9" t="s">
        <v>3508</v>
      </c>
      <c r="E913" s="10" t="str">
        <f>HYPERLINK("https://twitter.com/Gungir1/status/1071068176602054656","1071068176602054656")</f>
        <v>1071068176602054656</v>
      </c>
      <c r="F913" s="11" t="s">
        <v>2938</v>
      </c>
      <c r="G913" s="12"/>
      <c r="H913" s="12"/>
      <c r="I913" s="13">
        <v>0</v>
      </c>
      <c r="J913" s="13">
        <v>0</v>
      </c>
      <c r="K913" s="14" t="str">
        <f>HYPERLINK("http://twitter.com/download/android","Twitter for Android")</f>
        <v>Twitter for Android</v>
      </c>
      <c r="L913" s="13">
        <v>4</v>
      </c>
      <c r="M913" s="13">
        <v>20</v>
      </c>
      <c r="N913" s="13">
        <v>0</v>
      </c>
      <c r="O913" s="15"/>
      <c r="P913" s="6">
        <v>41071.929409722223</v>
      </c>
      <c r="Q913" s="12"/>
      <c r="R913" s="19"/>
      <c r="S913" s="12"/>
      <c r="T913" s="12"/>
      <c r="U913" s="10" t="str">
        <f>HYPERLINK("https://pbs.twimg.com/profile_images/2299788928/encyclo_illustre_1303253333.jpg","View")</f>
        <v>View</v>
      </c>
    </row>
    <row r="914" spans="1:21" ht="40.799999999999997">
      <c r="A914" s="6">
        <v>43441.697766203702</v>
      </c>
      <c r="B914" s="7" t="str">
        <f>HYPERLINK("https://twitter.com/consuyanton","@consuyanton")</f>
        <v>@consuyanton</v>
      </c>
      <c r="C914" s="8" t="s">
        <v>1494</v>
      </c>
      <c r="D914" s="9" t="s">
        <v>3509</v>
      </c>
      <c r="E914" s="10" t="str">
        <f>HYPERLINK("https://twitter.com/consuyanton/status/1071068010536935425","1071068010536935425")</f>
        <v>1071068010536935425</v>
      </c>
      <c r="F914" s="12"/>
      <c r="G914" s="12"/>
      <c r="H914" s="12"/>
      <c r="I914" s="13">
        <v>1</v>
      </c>
      <c r="J914" s="13">
        <v>0</v>
      </c>
      <c r="K914" s="14" t="str">
        <f>HYPERLINK("http://twitter.com","Twitter Web Client")</f>
        <v>Twitter Web Client</v>
      </c>
      <c r="L914" s="13">
        <v>1600</v>
      </c>
      <c r="M914" s="13">
        <v>884</v>
      </c>
      <c r="N914" s="13">
        <v>31</v>
      </c>
      <c r="O914" s="15"/>
      <c r="P914" s="6">
        <v>40456.055844907409</v>
      </c>
      <c r="Q914" s="16" t="s">
        <v>60</v>
      </c>
      <c r="R914" s="17" t="s">
        <v>1497</v>
      </c>
      <c r="S914" s="12"/>
      <c r="T914" s="12"/>
      <c r="U914" s="10" t="str">
        <f>HYPERLINK("https://pbs.twimg.com/profile_images/3023026475/ef1492f264a722b4ed7460342d63233e.jpeg","View")</f>
        <v>View</v>
      </c>
    </row>
    <row r="915" spans="1:21" ht="61.2">
      <c r="A915" s="6">
        <v>43441.697499999995</v>
      </c>
      <c r="B915" s="7" t="str">
        <f>HYPERLINK("https://twitter.com/RadioSportDjs","@RadioSportDjs")</f>
        <v>@RadioSportDjs</v>
      </c>
      <c r="C915" s="8" t="s">
        <v>3510</v>
      </c>
      <c r="D915" s="9" t="s">
        <v>3511</v>
      </c>
      <c r="E915" s="10" t="str">
        <f>HYPERLINK("https://twitter.com/RadioSportDjs/status/1071067914181206016","1071067914181206016")</f>
        <v>1071067914181206016</v>
      </c>
      <c r="F915" s="11" t="s">
        <v>576</v>
      </c>
      <c r="G915" s="12"/>
      <c r="H915" s="12"/>
      <c r="I915" s="13">
        <v>1</v>
      </c>
      <c r="J915" s="13">
        <v>1</v>
      </c>
      <c r="K915" s="14" t="str">
        <f>HYPERLINK("http://twitter.com/download/android","Twitter for Android")</f>
        <v>Twitter for Android</v>
      </c>
      <c r="L915" s="13">
        <v>2110</v>
      </c>
      <c r="M915" s="13">
        <v>2053</v>
      </c>
      <c r="N915" s="13">
        <v>24</v>
      </c>
      <c r="O915" s="15"/>
      <c r="P915" s="6">
        <v>41551.462199074071</v>
      </c>
      <c r="Q915" s="16" t="s">
        <v>60</v>
      </c>
      <c r="R915" s="17" t="s">
        <v>3512</v>
      </c>
      <c r="S915" s="11" t="s">
        <v>3513</v>
      </c>
      <c r="T915" s="12"/>
      <c r="U915" s="10" t="str">
        <f>HYPERLINK("https://pbs.twimg.com/profile_images/378800000627895027/e0f63bdea2f7df7fc09d2a06e3bd2819.png","View")</f>
        <v>View</v>
      </c>
    </row>
    <row r="916" spans="1:21" ht="40.799999999999997">
      <c r="A916" s="6">
        <v>43441.697372685187</v>
      </c>
      <c r="B916" s="7" t="str">
        <f>HYPERLINK("https://twitter.com/zapper_news","@zapper_news")</f>
        <v>@zapper_news</v>
      </c>
      <c r="C916" s="8" t="s">
        <v>23</v>
      </c>
      <c r="D916" s="9" t="s">
        <v>155</v>
      </c>
      <c r="E916" s="10" t="str">
        <f>HYPERLINK("https://twitter.com/zapper_news/status/1071067866659725313","1071067866659725313")</f>
        <v>1071067866659725313</v>
      </c>
      <c r="F916" s="11" t="s">
        <v>62</v>
      </c>
      <c r="G916" s="11" t="s">
        <v>156</v>
      </c>
      <c r="H916" s="12"/>
      <c r="I916" s="13">
        <v>0</v>
      </c>
      <c r="J916" s="13">
        <v>0</v>
      </c>
      <c r="K916" s="14" t="str">
        <f>HYPERLINK("http://www.tier.be","Stats Now")</f>
        <v>Stats Now</v>
      </c>
      <c r="L916" s="13">
        <v>285</v>
      </c>
      <c r="M916" s="13">
        <v>1845</v>
      </c>
      <c r="N916" s="13">
        <v>0</v>
      </c>
      <c r="O916" s="15"/>
      <c r="P916" s="6">
        <v>42874.842048611114</v>
      </c>
      <c r="Q916" s="16" t="s">
        <v>26</v>
      </c>
      <c r="R916" s="17" t="s">
        <v>28</v>
      </c>
      <c r="S916" s="11" t="s">
        <v>29</v>
      </c>
      <c r="T916" s="12"/>
      <c r="U916" s="10" t="str">
        <f>HYPERLINK("https://pbs.twimg.com/profile_images/1011404142210961408/ffUw_4XH.jpg","View")</f>
        <v>View</v>
      </c>
    </row>
    <row r="917" spans="1:21" ht="13.2">
      <c r="A917" s="6">
        <v>43441.697164351848</v>
      </c>
      <c r="B917" s="7" t="str">
        <f>HYPERLINK("https://twitter.com/AurelioNaranjo2","@AurelioNaranjo2")</f>
        <v>@AurelioNaranjo2</v>
      </c>
      <c r="C917" s="8" t="s">
        <v>3515</v>
      </c>
      <c r="D917" s="9" t="s">
        <v>3516</v>
      </c>
      <c r="E917" s="10" t="str">
        <f>HYPERLINK("https://twitter.com/AurelioNaranjo2/status/1071067791569096705","1071067791569096705")</f>
        <v>1071067791569096705</v>
      </c>
      <c r="F917" s="12"/>
      <c r="G917" s="11" t="s">
        <v>3517</v>
      </c>
      <c r="H917" s="12"/>
      <c r="I917" s="13">
        <v>0</v>
      </c>
      <c r="J917" s="13">
        <v>0</v>
      </c>
      <c r="K917" s="14" t="str">
        <f t="shared" ref="K917:K918" si="155">HYPERLINK("http://twitter.com/download/android","Twitter for Android")</f>
        <v>Twitter for Android</v>
      </c>
      <c r="L917" s="13">
        <v>119</v>
      </c>
      <c r="M917" s="13">
        <v>302</v>
      </c>
      <c r="N917" s="13">
        <v>0</v>
      </c>
      <c r="O917" s="15"/>
      <c r="P917" s="6">
        <v>43350.4612962963</v>
      </c>
      <c r="Q917" s="12"/>
      <c r="R917" s="19"/>
      <c r="S917" s="12"/>
      <c r="T917" s="12"/>
      <c r="U917" s="10" t="str">
        <f>HYPERLINK("https://pbs.twimg.com/profile_images/1070441054867021826/4fA2xKUL.jpg","View")</f>
        <v>View</v>
      </c>
    </row>
    <row r="918" spans="1:21" ht="13.2">
      <c r="A918" s="6">
        <v>43441.697118055556</v>
      </c>
      <c r="B918" s="7" t="str">
        <f>HYPERLINK("https://twitter.com/MariaJo32036997","@MariaJo32036997")</f>
        <v>@MariaJo32036997</v>
      </c>
      <c r="C918" s="8" t="s">
        <v>3518</v>
      </c>
      <c r="D918" s="9" t="s">
        <v>1175</v>
      </c>
      <c r="E918" s="10" t="str">
        <f>HYPERLINK("https://twitter.com/MariaJo32036997/status/1071067774305357824","1071067774305357824")</f>
        <v>1071067774305357824</v>
      </c>
      <c r="F918" s="11" t="s">
        <v>1176</v>
      </c>
      <c r="G918" s="12"/>
      <c r="H918" s="12"/>
      <c r="I918" s="13">
        <v>0</v>
      </c>
      <c r="J918" s="13">
        <v>0</v>
      </c>
      <c r="K918" s="14" t="str">
        <f t="shared" si="155"/>
        <v>Twitter for Android</v>
      </c>
      <c r="L918" s="13">
        <v>57</v>
      </c>
      <c r="M918" s="13">
        <v>441</v>
      </c>
      <c r="N918" s="13">
        <v>0</v>
      </c>
      <c r="O918" s="15"/>
      <c r="P918" s="6">
        <v>43152.969189814816</v>
      </c>
      <c r="Q918" s="16" t="s">
        <v>3519</v>
      </c>
      <c r="R918" s="17" t="s">
        <v>3520</v>
      </c>
      <c r="S918" s="12"/>
      <c r="T918" s="12"/>
      <c r="U918" s="10" t="str">
        <f>HYPERLINK("https://pbs.twimg.com/profile_images/967823045770514432/YMit4x5f.jpg","View")</f>
        <v>View</v>
      </c>
    </row>
    <row r="919" spans="1:21" ht="30.6">
      <c r="A919" s="6">
        <v>43441.696921296301</v>
      </c>
      <c r="B919" s="7" t="str">
        <f>HYPERLINK("https://twitter.com/peterbrownnie","@peterbrownnie")</f>
        <v>@peterbrownnie</v>
      </c>
      <c r="C919" s="8" t="s">
        <v>3521</v>
      </c>
      <c r="D919" s="9" t="s">
        <v>3522</v>
      </c>
      <c r="E919" s="10" t="str">
        <f>HYPERLINK("https://twitter.com/peterbrownnie/status/1071067702381473792","1071067702381473792")</f>
        <v>1071067702381473792</v>
      </c>
      <c r="F919" s="11" t="s">
        <v>3523</v>
      </c>
      <c r="G919" s="12"/>
      <c r="H919" s="12"/>
      <c r="I919" s="13">
        <v>0</v>
      </c>
      <c r="J919" s="13">
        <v>0</v>
      </c>
      <c r="K919" s="14" t="str">
        <f>HYPERLINK("http://twitter.com","Twitter Web Client")</f>
        <v>Twitter Web Client</v>
      </c>
      <c r="L919" s="13">
        <v>926</v>
      </c>
      <c r="M919" s="13">
        <v>1572</v>
      </c>
      <c r="N919" s="13">
        <v>9</v>
      </c>
      <c r="O919" s="15"/>
      <c r="P919" s="6">
        <v>42914.571111111116</v>
      </c>
      <c r="Q919" s="16" t="s">
        <v>3524</v>
      </c>
      <c r="R919" s="17" t="s">
        <v>3525</v>
      </c>
      <c r="S919" s="12"/>
      <c r="T919" s="12"/>
      <c r="U919" s="10" t="str">
        <f>HYPERLINK("https://pbs.twimg.com/profile_images/1008416876622483458/8MoFDMa-.jpg","View")</f>
        <v>View</v>
      </c>
    </row>
    <row r="920" spans="1:21" ht="20.399999999999999">
      <c r="A920" s="6">
        <v>43441.696840277778</v>
      </c>
      <c r="B920" s="7" t="str">
        <f t="shared" ref="B920:B921" si="156">HYPERLINK("https://twitter.com/alav2012","@alav2012")</f>
        <v>@alav2012</v>
      </c>
      <c r="C920" s="8" t="s">
        <v>3526</v>
      </c>
      <c r="D920" s="9" t="s">
        <v>3089</v>
      </c>
      <c r="E920" s="10" t="str">
        <f>HYPERLINK("https://twitter.com/alav2012/status/1071067674636095491","1071067674636095491")</f>
        <v>1071067674636095491</v>
      </c>
      <c r="F920" s="11" t="s">
        <v>1376</v>
      </c>
      <c r="G920" s="12"/>
      <c r="H920" s="12"/>
      <c r="I920" s="13">
        <v>0</v>
      </c>
      <c r="J920" s="13">
        <v>0</v>
      </c>
      <c r="K920" s="14" t="str">
        <f t="shared" ref="K920:K921" si="157">HYPERLINK("http://twitter.com/download/android","Twitter for Android")</f>
        <v>Twitter for Android</v>
      </c>
      <c r="L920" s="13">
        <v>13090</v>
      </c>
      <c r="M920" s="13">
        <v>13682</v>
      </c>
      <c r="N920" s="13">
        <v>24</v>
      </c>
      <c r="O920" s="15"/>
      <c r="P920" s="6">
        <v>41252.014976851853</v>
      </c>
      <c r="Q920" s="16" t="s">
        <v>3527</v>
      </c>
      <c r="R920" s="19"/>
      <c r="S920" s="12"/>
      <c r="T920" s="12"/>
      <c r="U920" s="10" t="str">
        <f t="shared" ref="U920:U921" si="158">HYPERLINK("https://pbs.twimg.com/profile_images/2953608355/4490ac1b835f73e3cd80ddf8d395257b.jpeg","View")</f>
        <v>View</v>
      </c>
    </row>
    <row r="921" spans="1:21" ht="20.399999999999999">
      <c r="A921" s="6">
        <v>43441.696701388893</v>
      </c>
      <c r="B921" s="7" t="str">
        <f t="shared" si="156"/>
        <v>@alav2012</v>
      </c>
      <c r="C921" s="8" t="s">
        <v>3526</v>
      </c>
      <c r="D921" s="9" t="s">
        <v>3089</v>
      </c>
      <c r="E921" s="10" t="str">
        <f>HYPERLINK("https://twitter.com/alav2012/status/1071067621334888451","1071067621334888451")</f>
        <v>1071067621334888451</v>
      </c>
      <c r="F921" s="11" t="s">
        <v>1376</v>
      </c>
      <c r="G921" s="12"/>
      <c r="H921" s="12"/>
      <c r="I921" s="13">
        <v>0</v>
      </c>
      <c r="J921" s="13">
        <v>0</v>
      </c>
      <c r="K921" s="14" t="str">
        <f t="shared" si="157"/>
        <v>Twitter for Android</v>
      </c>
      <c r="L921" s="13">
        <v>13090</v>
      </c>
      <c r="M921" s="13">
        <v>13682</v>
      </c>
      <c r="N921" s="13">
        <v>24</v>
      </c>
      <c r="O921" s="15"/>
      <c r="P921" s="6">
        <v>41252.014976851853</v>
      </c>
      <c r="Q921" s="16" t="s">
        <v>3527</v>
      </c>
      <c r="R921" s="19"/>
      <c r="S921" s="12"/>
      <c r="T921" s="12"/>
      <c r="U921" s="10" t="str">
        <f t="shared" si="158"/>
        <v>View</v>
      </c>
    </row>
    <row r="922" spans="1:21" ht="20.399999999999999">
      <c r="A922" s="6">
        <v>43441.696006944447</v>
      </c>
      <c r="B922" s="7" t="str">
        <f>HYPERLINK("https://twitter.com/miqueloneus","@miqueloneus")</f>
        <v>@miqueloneus</v>
      </c>
      <c r="C922" s="8" t="s">
        <v>3528</v>
      </c>
      <c r="D922" s="9" t="s">
        <v>3529</v>
      </c>
      <c r="E922" s="10" t="str">
        <f>HYPERLINK("https://twitter.com/miqueloneus/status/1071067370200850433","1071067370200850433")</f>
        <v>1071067370200850433</v>
      </c>
      <c r="F922" s="11" t="s">
        <v>3530</v>
      </c>
      <c r="G922" s="12"/>
      <c r="H922" s="12"/>
      <c r="I922" s="13">
        <v>0</v>
      </c>
      <c r="J922" s="13">
        <v>0</v>
      </c>
      <c r="K922" s="14" t="str">
        <f>HYPERLINK("http://twitter.com/download/iphone","Twitter for iPhone")</f>
        <v>Twitter for iPhone</v>
      </c>
      <c r="L922" s="13">
        <v>906</v>
      </c>
      <c r="M922" s="13">
        <v>797</v>
      </c>
      <c r="N922" s="13">
        <v>37</v>
      </c>
      <c r="O922" s="15"/>
      <c r="P922" s="6">
        <v>40582.591909722221</v>
      </c>
      <c r="Q922" s="16" t="s">
        <v>200</v>
      </c>
      <c r="R922" s="17" t="s">
        <v>3531</v>
      </c>
      <c r="S922" s="12"/>
      <c r="T922" s="12"/>
      <c r="U922" s="10" t="str">
        <f>HYPERLINK("https://pbs.twimg.com/profile_images/932572246413053952/InztiJSZ.jpg","View")</f>
        <v>View</v>
      </c>
    </row>
    <row r="923" spans="1:21" ht="40.799999999999997">
      <c r="A923" s="6">
        <v>43441.695428240739</v>
      </c>
      <c r="B923" s="7" t="str">
        <f>HYPERLINK("https://twitter.com/rameneses1","@rameneses1")</f>
        <v>@rameneses1</v>
      </c>
      <c r="C923" s="8" t="s">
        <v>3532</v>
      </c>
      <c r="D923" s="9" t="s">
        <v>3533</v>
      </c>
      <c r="E923" s="10" t="str">
        <f>HYPERLINK("https://twitter.com/rameneses1/status/1071067163853840385","1071067163853840385")</f>
        <v>1071067163853840385</v>
      </c>
      <c r="F923" s="11" t="s">
        <v>3534</v>
      </c>
      <c r="G923" s="12"/>
      <c r="H923" s="12"/>
      <c r="I923" s="13">
        <v>0</v>
      </c>
      <c r="J923" s="13">
        <v>0</v>
      </c>
      <c r="K923" s="14" t="str">
        <f>HYPERLINK("http://twitter.com","Twitter Web Client")</f>
        <v>Twitter Web Client</v>
      </c>
      <c r="L923" s="13">
        <v>12896</v>
      </c>
      <c r="M923" s="13">
        <v>6699</v>
      </c>
      <c r="N923" s="13">
        <v>121</v>
      </c>
      <c r="O923" s="15"/>
      <c r="P923" s="6">
        <v>40098.975057870368</v>
      </c>
      <c r="Q923" s="16" t="s">
        <v>1864</v>
      </c>
      <c r="R923" s="17" t="s">
        <v>3535</v>
      </c>
      <c r="S923" s="11" t="s">
        <v>3536</v>
      </c>
      <c r="T923" s="12"/>
      <c r="U923" s="10" t="str">
        <f>HYPERLINK("https://pbs.twimg.com/profile_images/802923435869487104/OGcqBsJT.jpg","View")</f>
        <v>View</v>
      </c>
    </row>
    <row r="924" spans="1:21" ht="20.399999999999999">
      <c r="A924" s="6">
        <v>43441.693206018521</v>
      </c>
      <c r="B924" s="7" t="str">
        <f>HYPERLINK("https://twitter.com/NEWSANTANDER","@NEWSANTANDER")</f>
        <v>@NEWSANTANDER</v>
      </c>
      <c r="C924" s="8" t="s">
        <v>384</v>
      </c>
      <c r="D924" s="9" t="s">
        <v>2092</v>
      </c>
      <c r="E924" s="10" t="str">
        <f>HYPERLINK("https://twitter.com/NEWSANTANDER/status/1071066355737202688","1071066355737202688")</f>
        <v>1071066355737202688</v>
      </c>
      <c r="F924" s="11" t="s">
        <v>3537</v>
      </c>
      <c r="G924" s="12"/>
      <c r="H924" s="12"/>
      <c r="I924" s="13">
        <v>0</v>
      </c>
      <c r="J924" s="13">
        <v>0</v>
      </c>
      <c r="K924" s="14" t="str">
        <f>HYPERLINK("http://publicize.wp.com/","WordPress.com")</f>
        <v>WordPress.com</v>
      </c>
      <c r="L924" s="13">
        <v>2719</v>
      </c>
      <c r="M924" s="13">
        <v>2678</v>
      </c>
      <c r="N924" s="13">
        <v>22</v>
      </c>
      <c r="O924" s="15"/>
      <c r="P924" s="6">
        <v>42254.827662037038</v>
      </c>
      <c r="Q924" s="12"/>
      <c r="R924" s="19"/>
      <c r="S924" s="12"/>
      <c r="T924" s="12"/>
      <c r="U924" s="10" t="str">
        <f>HYPERLINK("https://pbs.twimg.com/profile_images/640946719002361856/uwfBU4CB.jpg","View")</f>
        <v>View</v>
      </c>
    </row>
    <row r="925" spans="1:21" ht="40.799999999999997">
      <c r="A925" s="6">
        <v>43441.692430555559</v>
      </c>
      <c r="B925" s="7" t="str">
        <f>HYPERLINK("https://twitter.com/jatirado","@jatirado")</f>
        <v>@jatirado</v>
      </c>
      <c r="C925" s="8" t="s">
        <v>196</v>
      </c>
      <c r="D925" s="9" t="s">
        <v>3012</v>
      </c>
      <c r="E925" s="10" t="str">
        <f>HYPERLINK("https://twitter.com/jatirado/status/1071066074756526081","1071066074756526081")</f>
        <v>1071066074756526081</v>
      </c>
      <c r="F925" s="11" t="s">
        <v>3538</v>
      </c>
      <c r="G925" s="11" t="s">
        <v>3539</v>
      </c>
      <c r="H925" s="12"/>
      <c r="I925" s="13">
        <v>3</v>
      </c>
      <c r="J925" s="13">
        <v>1</v>
      </c>
      <c r="K925" s="14" t="str">
        <f>HYPERLINK("https://dlvrit.com/","dlvr.it")</f>
        <v>dlvr.it</v>
      </c>
      <c r="L925" s="13">
        <v>81545</v>
      </c>
      <c r="M925" s="13">
        <v>49760</v>
      </c>
      <c r="N925" s="13">
        <v>1030</v>
      </c>
      <c r="O925" s="15"/>
      <c r="P925" s="6">
        <v>40353.552581018521</v>
      </c>
      <c r="Q925" s="16" t="s">
        <v>200</v>
      </c>
      <c r="R925" s="17" t="s">
        <v>201</v>
      </c>
      <c r="S925" s="11" t="s">
        <v>202</v>
      </c>
      <c r="T925" s="12"/>
      <c r="U925" s="10" t="str">
        <f>HYPERLINK("https://pbs.twimg.com/profile_images/485680559742791680/dg68o8vH.jpeg","View")</f>
        <v>View</v>
      </c>
    </row>
    <row r="926" spans="1:21" ht="40.799999999999997">
      <c r="A926" s="6">
        <v>43441.691006944442</v>
      </c>
      <c r="B926" s="7" t="str">
        <f>HYPERLINK("https://twitter.com/lextresabogados","@lextresabogados")</f>
        <v>@lextresabogados</v>
      </c>
      <c r="C926" s="8" t="s">
        <v>226</v>
      </c>
      <c r="D926" s="9" t="s">
        <v>3540</v>
      </c>
      <c r="E926" s="10" t="str">
        <f>HYPERLINK("https://twitter.com/lextresabogados/status/1071065558974631936","1071065558974631936")</f>
        <v>1071065558974631936</v>
      </c>
      <c r="F926" s="11" t="s">
        <v>3541</v>
      </c>
      <c r="G926" s="12"/>
      <c r="H926" s="12"/>
      <c r="I926" s="13">
        <v>0</v>
      </c>
      <c r="J926" s="13">
        <v>0</v>
      </c>
      <c r="K926" s="14" t="str">
        <f>HYPERLINK("http://35.180.36.179","botize nueva")</f>
        <v>botize nueva</v>
      </c>
      <c r="L926" s="13">
        <v>2912</v>
      </c>
      <c r="M926" s="13">
        <v>3525</v>
      </c>
      <c r="N926" s="13">
        <v>26</v>
      </c>
      <c r="O926" s="15"/>
      <c r="P926" s="6">
        <v>42880.770949074074</v>
      </c>
      <c r="Q926" s="16" t="s">
        <v>230</v>
      </c>
      <c r="R926" s="17" t="s">
        <v>231</v>
      </c>
      <c r="S926" s="11" t="s">
        <v>232</v>
      </c>
      <c r="T926" s="12"/>
      <c r="U926" s="10" t="str">
        <f>HYPERLINK("https://pbs.twimg.com/profile_images/1068056978679898113/YnjKwiVy.jpg","View")</f>
        <v>View</v>
      </c>
    </row>
    <row r="927" spans="1:21" ht="20.399999999999999">
      <c r="A927" s="6">
        <v>43441.690960648149</v>
      </c>
      <c r="B927" s="7" t="str">
        <f>HYPERLINK("https://twitter.com/chema1523","@chema1523")</f>
        <v>@chema1523</v>
      </c>
      <c r="C927" s="8" t="s">
        <v>3542</v>
      </c>
      <c r="D927" s="9" t="s">
        <v>3543</v>
      </c>
      <c r="E927" s="10" t="str">
        <f>HYPERLINK("https://twitter.com/chema1523/status/1071065542189035525","1071065542189035525")</f>
        <v>1071065542189035525</v>
      </c>
      <c r="F927" s="12"/>
      <c r="G927" s="12"/>
      <c r="H927" s="12"/>
      <c r="I927" s="13">
        <v>2</v>
      </c>
      <c r="J927" s="13">
        <v>4</v>
      </c>
      <c r="K927" s="14" t="str">
        <f>HYPERLINK("http://twitter.com/download/iphone","Twitter for iPhone")</f>
        <v>Twitter for iPhone</v>
      </c>
      <c r="L927" s="13">
        <v>1768</v>
      </c>
      <c r="M927" s="13">
        <v>2661</v>
      </c>
      <c r="N927" s="13">
        <v>3</v>
      </c>
      <c r="O927" s="15"/>
      <c r="P927" s="6">
        <v>41103.667002314818</v>
      </c>
      <c r="Q927" s="16" t="s">
        <v>3544</v>
      </c>
      <c r="R927" s="17" t="s">
        <v>3545</v>
      </c>
      <c r="S927" s="12"/>
      <c r="T927" s="12"/>
      <c r="U927" s="10" t="str">
        <f>HYPERLINK("https://pbs.twimg.com/profile_images/1058783765487644677/aYJEQQwK.jpg","View")</f>
        <v>View</v>
      </c>
    </row>
    <row r="928" spans="1:21" ht="30.6">
      <c r="A928" s="6">
        <v>43441.68959490741</v>
      </c>
      <c r="B928" s="7" t="str">
        <f>HYPERLINK("https://twitter.com/BustosAlbertoO2","@BustosAlbertoO2")</f>
        <v>@BustosAlbertoO2</v>
      </c>
      <c r="C928" s="8" t="s">
        <v>3546</v>
      </c>
      <c r="D928" s="9" t="s">
        <v>1308</v>
      </c>
      <c r="E928" s="10" t="str">
        <f>HYPERLINK("https://twitter.com/BustosAlbertoO2/status/1071065049077374984","1071065049077374984")</f>
        <v>1071065049077374984</v>
      </c>
      <c r="F928" s="11" t="s">
        <v>1309</v>
      </c>
      <c r="G928" s="12"/>
      <c r="H928" s="12"/>
      <c r="I928" s="13">
        <v>0</v>
      </c>
      <c r="J928" s="13">
        <v>0</v>
      </c>
      <c r="K928" s="14" t="str">
        <f t="shared" ref="K928:K930" si="159">HYPERLINK("http://twitter.com/download/android","Twitter for Android")</f>
        <v>Twitter for Android</v>
      </c>
      <c r="L928" s="13">
        <v>165</v>
      </c>
      <c r="M928" s="13">
        <v>1524</v>
      </c>
      <c r="N928" s="13">
        <v>0</v>
      </c>
      <c r="O928" s="15"/>
      <c r="P928" s="6">
        <v>43322.151840277773</v>
      </c>
      <c r="Q928" s="16" t="s">
        <v>1753</v>
      </c>
      <c r="R928" s="17" t="s">
        <v>3547</v>
      </c>
      <c r="S928" s="12"/>
      <c r="T928" s="12"/>
      <c r="U928" s="10" t="str">
        <f>HYPERLINK("https://pbs.twimg.com/profile_images/1043934593966120960/CEygpTvh.jpg","View")</f>
        <v>View</v>
      </c>
    </row>
    <row r="929" spans="1:21" ht="71.400000000000006">
      <c r="A929" s="6">
        <v>43441.689525462964</v>
      </c>
      <c r="B929" s="7" t="str">
        <f>HYPERLINK("https://twitter.com/AurelioNaranjo2","@AurelioNaranjo2")</f>
        <v>@AurelioNaranjo2</v>
      </c>
      <c r="C929" s="8" t="s">
        <v>3515</v>
      </c>
      <c r="D929" s="9" t="s">
        <v>3548</v>
      </c>
      <c r="E929" s="10" t="str">
        <f>HYPERLINK("https://twitter.com/AurelioNaranjo2/status/1071065020669329410","1071065020669329410")</f>
        <v>1071065020669329410</v>
      </c>
      <c r="F929" s="16" t="s">
        <v>3549</v>
      </c>
      <c r="G929" s="11" t="s">
        <v>3550</v>
      </c>
      <c r="H929" s="12"/>
      <c r="I929" s="13">
        <v>0</v>
      </c>
      <c r="J929" s="13">
        <v>1</v>
      </c>
      <c r="K929" s="14" t="str">
        <f t="shared" si="159"/>
        <v>Twitter for Android</v>
      </c>
      <c r="L929" s="13">
        <v>119</v>
      </c>
      <c r="M929" s="13">
        <v>302</v>
      </c>
      <c r="N929" s="13">
        <v>0</v>
      </c>
      <c r="O929" s="15"/>
      <c r="P929" s="6">
        <v>43350.4612962963</v>
      </c>
      <c r="Q929" s="12"/>
      <c r="R929" s="19"/>
      <c r="S929" s="12"/>
      <c r="T929" s="12"/>
      <c r="U929" s="10" t="str">
        <f>HYPERLINK("https://pbs.twimg.com/profile_images/1070441054867021826/4fA2xKUL.jpg","View")</f>
        <v>View</v>
      </c>
    </row>
    <row r="930" spans="1:21" ht="51">
      <c r="A930" s="6">
        <v>43441.689375000002</v>
      </c>
      <c r="B930" s="7" t="str">
        <f>HYPERLINK("https://twitter.com/LuisJavierSanj2","@LuisJavierSanj2")</f>
        <v>@LuisJavierSanj2</v>
      </c>
      <c r="C930" s="8" t="s">
        <v>3551</v>
      </c>
      <c r="D930" s="9" t="s">
        <v>3552</v>
      </c>
      <c r="E930" s="10" t="str">
        <f>HYPERLINK("https://twitter.com/LuisJavierSanj2/status/1071064966722187265","1071064966722187265")</f>
        <v>1071064966722187265</v>
      </c>
      <c r="F930" s="11" t="s">
        <v>3031</v>
      </c>
      <c r="G930" s="12"/>
      <c r="H930" s="12"/>
      <c r="I930" s="13">
        <v>1</v>
      </c>
      <c r="J930" s="13">
        <v>2</v>
      </c>
      <c r="K930" s="14" t="str">
        <f t="shared" si="159"/>
        <v>Twitter for Android</v>
      </c>
      <c r="L930" s="13">
        <v>806</v>
      </c>
      <c r="M930" s="13">
        <v>1244</v>
      </c>
      <c r="N930" s="13">
        <v>1</v>
      </c>
      <c r="O930" s="15"/>
      <c r="P930" s="6">
        <v>43017.871759259258</v>
      </c>
      <c r="Q930" s="12"/>
      <c r="R930" s="17" t="s">
        <v>3553</v>
      </c>
      <c r="S930" s="12"/>
      <c r="T930" s="12"/>
      <c r="U930" s="10" t="str">
        <f>HYPERLINK("https://pbs.twimg.com/profile_images/983037090681245696/C-KQIcbF.jpg","View")</f>
        <v>View</v>
      </c>
    </row>
    <row r="931" spans="1:21" ht="20.399999999999999">
      <c r="A931" s="6">
        <v>43441.688750000001</v>
      </c>
      <c r="B931" s="7" t="str">
        <f>HYPERLINK("https://twitter.com/padro_al","@padro_al")</f>
        <v>@padro_al</v>
      </c>
      <c r="C931" s="8" t="s">
        <v>3554</v>
      </c>
      <c r="D931" s="9" t="s">
        <v>3555</v>
      </c>
      <c r="E931" s="10" t="str">
        <f>HYPERLINK("https://twitter.com/padro_al/status/1071064741852966912","1071064741852966912")</f>
        <v>1071064741852966912</v>
      </c>
      <c r="F931" s="11" t="s">
        <v>3556</v>
      </c>
      <c r="G931" s="11" t="s">
        <v>3557</v>
      </c>
      <c r="H931" s="12"/>
      <c r="I931" s="13">
        <v>1</v>
      </c>
      <c r="J931" s="13">
        <v>2</v>
      </c>
      <c r="K931" s="14" t="str">
        <f t="shared" ref="K931:K932" si="160">HYPERLINK("http://twitter.com","Twitter Web Client")</f>
        <v>Twitter Web Client</v>
      </c>
      <c r="L931" s="13">
        <v>2512</v>
      </c>
      <c r="M931" s="13">
        <v>2296</v>
      </c>
      <c r="N931" s="13">
        <v>18</v>
      </c>
      <c r="O931" s="15"/>
      <c r="P931" s="6">
        <v>41266.966446759259</v>
      </c>
      <c r="Q931" s="16" t="s">
        <v>3558</v>
      </c>
      <c r="R931" s="17" t="s">
        <v>3559</v>
      </c>
      <c r="S931" s="12"/>
      <c r="T931" s="12"/>
      <c r="U931" s="10" t="str">
        <f>HYPERLINK("https://pbs.twimg.com/profile_images/1070465313324576769/r7EQZnLi.jpg","View")</f>
        <v>View</v>
      </c>
    </row>
    <row r="932" spans="1:21" ht="40.799999999999997">
      <c r="A932" s="6">
        <v>43441.688090277778</v>
      </c>
      <c r="B932" s="7" t="str">
        <f>HYPERLINK("https://twitter.com/rameneses1","@rameneses1")</f>
        <v>@rameneses1</v>
      </c>
      <c r="C932" s="8" t="s">
        <v>3532</v>
      </c>
      <c r="D932" s="9" t="s">
        <v>3560</v>
      </c>
      <c r="E932" s="10" t="str">
        <f>HYPERLINK("https://twitter.com/rameneses1/status/1071064501129236480","1071064501129236480")</f>
        <v>1071064501129236480</v>
      </c>
      <c r="F932" s="11" t="s">
        <v>3561</v>
      </c>
      <c r="G932" s="12"/>
      <c r="H932" s="12"/>
      <c r="I932" s="13">
        <v>0</v>
      </c>
      <c r="J932" s="13">
        <v>0</v>
      </c>
      <c r="K932" s="14" t="str">
        <f t="shared" si="160"/>
        <v>Twitter Web Client</v>
      </c>
      <c r="L932" s="13">
        <v>12896</v>
      </c>
      <c r="M932" s="13">
        <v>6699</v>
      </c>
      <c r="N932" s="13">
        <v>121</v>
      </c>
      <c r="O932" s="15"/>
      <c r="P932" s="6">
        <v>40098.975057870368</v>
      </c>
      <c r="Q932" s="16" t="s">
        <v>1864</v>
      </c>
      <c r="R932" s="17" t="s">
        <v>3535</v>
      </c>
      <c r="S932" s="11" t="s">
        <v>3536</v>
      </c>
      <c r="T932" s="12"/>
      <c r="U932" s="10" t="str">
        <f>HYPERLINK("https://pbs.twimg.com/profile_images/802923435869487104/OGcqBsJT.jpg","View")</f>
        <v>View</v>
      </c>
    </row>
    <row r="933" spans="1:21" ht="20.399999999999999">
      <c r="A933" s="6">
        <v>43441.688067129631</v>
      </c>
      <c r="B933" s="7" t="str">
        <f>HYPERLINK("https://twitter.com/vikuku","@vikuku")</f>
        <v>@vikuku</v>
      </c>
      <c r="C933" s="8" t="s">
        <v>3562</v>
      </c>
      <c r="D933" s="9" t="s">
        <v>3563</v>
      </c>
      <c r="E933" s="10" t="str">
        <f>HYPERLINK("https://twitter.com/vikuku/status/1071064493965352961","1071064493965352961")</f>
        <v>1071064493965352961</v>
      </c>
      <c r="F933" s="11" t="s">
        <v>2242</v>
      </c>
      <c r="G933" s="12"/>
      <c r="H933" s="12"/>
      <c r="I933" s="13">
        <v>0</v>
      </c>
      <c r="J933" s="13">
        <v>0</v>
      </c>
      <c r="K933" s="14" t="str">
        <f>HYPERLINK("http://twitter.com/download/iphone","Twitter for iPhone")</f>
        <v>Twitter for iPhone</v>
      </c>
      <c r="L933" s="13">
        <v>473</v>
      </c>
      <c r="M933" s="13">
        <v>2099</v>
      </c>
      <c r="N933" s="13">
        <v>15</v>
      </c>
      <c r="O933" s="15"/>
      <c r="P933" s="6">
        <v>40068.45521990741</v>
      </c>
      <c r="Q933" s="12"/>
      <c r="R933" s="17" t="s">
        <v>3564</v>
      </c>
      <c r="S933" s="12"/>
      <c r="T933" s="12"/>
      <c r="U933" s="10" t="str">
        <f>HYPERLINK("https://pbs.twimg.com/profile_images/1857638127/2031519.jpg","View")</f>
        <v>View</v>
      </c>
    </row>
    <row r="934" spans="1:21" ht="30.6">
      <c r="A934" s="6">
        <v>43441.685972222222</v>
      </c>
      <c r="B934" s="7" t="str">
        <f>HYPERLINK("https://twitter.com/periodicovzlano","@periodicovzlano")</f>
        <v>@periodicovzlano</v>
      </c>
      <c r="C934" s="8" t="s">
        <v>869</v>
      </c>
      <c r="D934" s="9" t="s">
        <v>714</v>
      </c>
      <c r="E934" s="10" t="str">
        <f>HYPERLINK("https://twitter.com/periodicovzlano/status/1071063736675430400","1071063736675430400")</f>
        <v>1071063736675430400</v>
      </c>
      <c r="F934" s="11" t="s">
        <v>737</v>
      </c>
      <c r="G934" s="11" t="s">
        <v>3565</v>
      </c>
      <c r="H934" s="12"/>
      <c r="I934" s="13">
        <v>0</v>
      </c>
      <c r="J934" s="13">
        <v>0</v>
      </c>
      <c r="K934" s="14" t="str">
        <f>HYPERLINK("http://epmundo.com","Tuiteo TOP EP (1)")</f>
        <v>Tuiteo TOP EP (1)</v>
      </c>
      <c r="L934" s="13">
        <v>479694</v>
      </c>
      <c r="M934" s="13">
        <v>358804</v>
      </c>
      <c r="N934" s="13">
        <v>1295</v>
      </c>
      <c r="O934" s="15"/>
      <c r="P934" s="6">
        <v>40663.3512962963</v>
      </c>
      <c r="Q934" s="16" t="s">
        <v>871</v>
      </c>
      <c r="R934" s="17" t="s">
        <v>872</v>
      </c>
      <c r="S934" s="11" t="s">
        <v>873</v>
      </c>
      <c r="T934" s="12"/>
      <c r="U934" s="10" t="str">
        <f>HYPERLINK("https://pbs.twimg.com/profile_images/958328579250638849/MCz7Q8U6.jpg","View")</f>
        <v>View</v>
      </c>
    </row>
    <row r="935" spans="1:21" ht="20.399999999999999">
      <c r="A935" s="6">
        <v>43441.684918981482</v>
      </c>
      <c r="B935" s="7" t="str">
        <f>HYPERLINK("https://twitter.com/EPNacional","@EPNacional")</f>
        <v>@EPNacional</v>
      </c>
      <c r="C935" s="8" t="s">
        <v>3158</v>
      </c>
      <c r="D935" s="9" t="s">
        <v>2963</v>
      </c>
      <c r="E935" s="10" t="str">
        <f>HYPERLINK("https://twitter.com/EPNacional/status/1071063355065028608","1071063355065028608")</f>
        <v>1071063355065028608</v>
      </c>
      <c r="F935" s="11" t="s">
        <v>3566</v>
      </c>
      <c r="G935" s="11" t="s">
        <v>3567</v>
      </c>
      <c r="H935" s="12"/>
      <c r="I935" s="13">
        <v>0</v>
      </c>
      <c r="J935" s="13">
        <v>1</v>
      </c>
      <c r="K935" s="14" t="str">
        <f>HYPERLINK("https://about.twitter.com/products/tweetdeck","TweetDeck")</f>
        <v>TweetDeck</v>
      </c>
      <c r="L935" s="13">
        <v>10779</v>
      </c>
      <c r="M935" s="13">
        <v>128</v>
      </c>
      <c r="N935" s="13">
        <v>239</v>
      </c>
      <c r="O935" s="18" t="s">
        <v>41</v>
      </c>
      <c r="P935" s="6">
        <v>41708.447858796295</v>
      </c>
      <c r="Q935" s="12"/>
      <c r="R935" s="17" t="s">
        <v>3159</v>
      </c>
      <c r="S935" s="11" t="s">
        <v>3160</v>
      </c>
      <c r="T935" s="12"/>
      <c r="U935" s="10" t="str">
        <f>HYPERLINK("https://pbs.twimg.com/profile_images/877113547158847488/eIlueLsb.jpg","View")</f>
        <v>View</v>
      </c>
    </row>
    <row r="936" spans="1:21" ht="30.6">
      <c r="A936" s="6">
        <v>43441.681608796294</v>
      </c>
      <c r="B936" s="7" t="str">
        <f>HYPERLINK("https://twitter.com/NoticiasVeApp","@NoticiasVeApp")</f>
        <v>@NoticiasVeApp</v>
      </c>
      <c r="C936" s="8" t="s">
        <v>3568</v>
      </c>
      <c r="D936" s="9" t="s">
        <v>2092</v>
      </c>
      <c r="E936" s="10" t="str">
        <f>HYPERLINK("https://twitter.com/NoticiasVeApp/status/1071062155334742016","1071062155334742016")</f>
        <v>1071062155334742016</v>
      </c>
      <c r="F936" s="11" t="s">
        <v>3569</v>
      </c>
      <c r="G936" s="12"/>
      <c r="H936" s="12"/>
      <c r="I936" s="13">
        <v>0</v>
      </c>
      <c r="J936" s="13">
        <v>0</v>
      </c>
      <c r="K936" s="14" t="str">
        <f>HYPERLINK("http://gunow.co.ve","Gunow LA")</f>
        <v>Gunow LA</v>
      </c>
      <c r="L936" s="13">
        <v>2451</v>
      </c>
      <c r="M936" s="13">
        <v>119</v>
      </c>
      <c r="N936" s="13">
        <v>79</v>
      </c>
      <c r="O936" s="15"/>
      <c r="P936" s="6">
        <v>42246.74318287037</v>
      </c>
      <c r="Q936" s="16" t="s">
        <v>871</v>
      </c>
      <c r="R936" s="17" t="s">
        <v>3570</v>
      </c>
      <c r="S936" s="11" t="s">
        <v>3571</v>
      </c>
      <c r="T936" s="12"/>
      <c r="U936" s="10" t="str">
        <f>HYPERLINK("https://pbs.twimg.com/profile_images/775773759051628544/jCU7-Mqp.jpg","View")</f>
        <v>View</v>
      </c>
    </row>
    <row r="937" spans="1:21" ht="51">
      <c r="A937" s="6">
        <v>43441.680393518516</v>
      </c>
      <c r="B937" s="7" t="str">
        <f>HYPERLINK("https://twitter.com/PepitaMenaMart1","@PepitaMenaMart1")</f>
        <v>@PepitaMenaMart1</v>
      </c>
      <c r="C937" s="8" t="s">
        <v>2188</v>
      </c>
      <c r="D937" s="9" t="s">
        <v>3572</v>
      </c>
      <c r="E937" s="10" t="str">
        <f>HYPERLINK("https://twitter.com/PepitaMenaMart1/status/1071061711921266688","1071061711921266688")</f>
        <v>1071061711921266688</v>
      </c>
      <c r="F937" s="11" t="s">
        <v>3573</v>
      </c>
      <c r="G937" s="12"/>
      <c r="H937" s="12"/>
      <c r="I937" s="13">
        <v>0</v>
      </c>
      <c r="J937" s="13">
        <v>0</v>
      </c>
      <c r="K937" s="14" t="str">
        <f>HYPERLINK("http://twitter.com/download/android","Twitter for Android")</f>
        <v>Twitter for Android</v>
      </c>
      <c r="L937" s="13">
        <v>437</v>
      </c>
      <c r="M937" s="13">
        <v>350</v>
      </c>
      <c r="N937" s="13">
        <v>1</v>
      </c>
      <c r="O937" s="15"/>
      <c r="P937" s="6">
        <v>43124.888506944444</v>
      </c>
      <c r="Q937" s="16" t="s">
        <v>2190</v>
      </c>
      <c r="R937" s="17" t="s">
        <v>2191</v>
      </c>
      <c r="S937" s="12"/>
      <c r="T937" s="12"/>
      <c r="U937" s="10" t="str">
        <f>HYPERLINK("https://pbs.twimg.com/profile_images/1053410905311064064/xChXdA8v.jpg","View")</f>
        <v>View</v>
      </c>
    </row>
    <row r="938" spans="1:21" ht="30.6">
      <c r="A938" s="6">
        <v>43441.679606481484</v>
      </c>
      <c r="B938" s="7" t="str">
        <f>HYPERLINK("https://twitter.com/galiciapress","@galiciapress")</f>
        <v>@galiciapress</v>
      </c>
      <c r="C938" s="8" t="s">
        <v>3574</v>
      </c>
      <c r="D938" s="9" t="s">
        <v>3575</v>
      </c>
      <c r="E938" s="10" t="str">
        <f>HYPERLINK("https://twitter.com/galiciapress/status/1071061426209472516","1071061426209472516")</f>
        <v>1071061426209472516</v>
      </c>
      <c r="F938" s="11" t="s">
        <v>3576</v>
      </c>
      <c r="G938" s="12"/>
      <c r="H938" s="12"/>
      <c r="I938" s="13">
        <v>0</v>
      </c>
      <c r="J938" s="13">
        <v>0</v>
      </c>
      <c r="K938" s="14" t="str">
        <f>HYPERLINK("http://bigpress.net/","Bigpess CMS")</f>
        <v>Bigpess CMS</v>
      </c>
      <c r="L938" s="13">
        <v>1487</v>
      </c>
      <c r="M938" s="13">
        <v>1556</v>
      </c>
      <c r="N938" s="13">
        <v>63</v>
      </c>
      <c r="O938" s="15"/>
      <c r="P938" s="6">
        <v>42023.747627314813</v>
      </c>
      <c r="Q938" s="12"/>
      <c r="R938" s="17" t="s">
        <v>3577</v>
      </c>
      <c r="S938" s="11" t="s">
        <v>3578</v>
      </c>
      <c r="T938" s="12"/>
      <c r="U938" s="10" t="str">
        <f>HYPERLINK("https://pbs.twimg.com/profile_images/826744786090598400/nyZ2JRZY.jpg","View")</f>
        <v>View</v>
      </c>
    </row>
    <row r="939" spans="1:21" ht="40.799999999999997">
      <c r="A939" s="6">
        <v>43441.679502314815</v>
      </c>
      <c r="B939" s="7" t="str">
        <f>HYPERLINK("https://twitter.com/la_patilla","@la_patilla")</f>
        <v>@la_patilla</v>
      </c>
      <c r="C939" s="8" t="s">
        <v>1951</v>
      </c>
      <c r="D939" s="9" t="s">
        <v>2092</v>
      </c>
      <c r="E939" s="10" t="str">
        <f>HYPERLINK("https://twitter.com/la_patilla/status/1071061390448836610","1071061390448836610")</f>
        <v>1071061390448836610</v>
      </c>
      <c r="F939" s="11" t="s">
        <v>1927</v>
      </c>
      <c r="G939" s="12"/>
      <c r="H939" s="12"/>
      <c r="I939" s="13">
        <v>0</v>
      </c>
      <c r="J939" s="13">
        <v>1</v>
      </c>
      <c r="K939" s="14" t="str">
        <f>HYPERLINK("https://about.twitter.com/products/tweetdeck","TweetDeck")</f>
        <v>TweetDeck</v>
      </c>
      <c r="L939" s="13">
        <v>6835401</v>
      </c>
      <c r="M939" s="13">
        <v>150</v>
      </c>
      <c r="N939" s="13">
        <v>16420</v>
      </c>
      <c r="O939" s="18" t="s">
        <v>41</v>
      </c>
      <c r="P939" s="6">
        <v>40255.626388888893</v>
      </c>
      <c r="Q939" s="16" t="s">
        <v>871</v>
      </c>
      <c r="R939" s="17" t="s">
        <v>1952</v>
      </c>
      <c r="S939" s="11" t="s">
        <v>1953</v>
      </c>
      <c r="T939" s="12"/>
      <c r="U939" s="10" t="str">
        <f>HYPERLINK("https://pbs.twimg.com/profile_images/886301529627475969/KslqP3me.jpg","View")</f>
        <v>View</v>
      </c>
    </row>
    <row r="940" spans="1:21" ht="30.6">
      <c r="A940" s="6">
        <v>43441.679479166662</v>
      </c>
      <c r="B940" s="7" t="str">
        <f>HYPERLINK("https://twitter.com/Paquita_R","@Paquita_R")</f>
        <v>@Paquita_R</v>
      </c>
      <c r="C940" s="8" t="s">
        <v>520</v>
      </c>
      <c r="D940" s="9" t="s">
        <v>3579</v>
      </c>
      <c r="E940" s="10" t="str">
        <f>HYPERLINK("https://twitter.com/Paquita_R/status/1071061382492246017","1071061382492246017")</f>
        <v>1071061382492246017</v>
      </c>
      <c r="F940" s="12"/>
      <c r="G940" s="12"/>
      <c r="H940" s="12"/>
      <c r="I940" s="13">
        <v>0</v>
      </c>
      <c r="J940" s="13">
        <v>0</v>
      </c>
      <c r="K940" s="14" t="str">
        <f t="shared" ref="K940:K941" si="161">HYPERLINK("http://twitter.com","Twitter Web Client")</f>
        <v>Twitter Web Client</v>
      </c>
      <c r="L940" s="13">
        <v>83</v>
      </c>
      <c r="M940" s="13">
        <v>369</v>
      </c>
      <c r="N940" s="13">
        <v>1</v>
      </c>
      <c r="O940" s="15"/>
      <c r="P940" s="6">
        <v>40174.983449074076</v>
      </c>
      <c r="Q940" s="16" t="s">
        <v>200</v>
      </c>
      <c r="R940" s="19"/>
      <c r="S940" s="12"/>
      <c r="T940" s="12"/>
      <c r="U940" s="10" t="str">
        <f>HYPERLINK("https://pbs.twimg.com/profile_images/1067916239484436480/NAudR-HG.jpg","View")</f>
        <v>View</v>
      </c>
    </row>
    <row r="941" spans="1:21" ht="30.6">
      <c r="A941" s="6">
        <v>43441.679270833338</v>
      </c>
      <c r="B941" s="7" t="str">
        <f>HYPERLINK("https://twitter.com/SER_Murcia","@SER_Murcia")</f>
        <v>@SER_Murcia</v>
      </c>
      <c r="C941" s="8" t="s">
        <v>3580</v>
      </c>
      <c r="D941" s="9" t="s">
        <v>3581</v>
      </c>
      <c r="E941" s="10" t="str">
        <f>HYPERLINK("https://twitter.com/SER_Murcia/status/1071061306797645825","1071061306797645825")</f>
        <v>1071061306797645825</v>
      </c>
      <c r="F941" s="11" t="s">
        <v>3582</v>
      </c>
      <c r="G941" s="12"/>
      <c r="H941" s="12"/>
      <c r="I941" s="13">
        <v>2</v>
      </c>
      <c r="J941" s="13">
        <v>3</v>
      </c>
      <c r="K941" s="14" t="str">
        <f t="shared" si="161"/>
        <v>Twitter Web Client</v>
      </c>
      <c r="L941" s="13">
        <v>20800</v>
      </c>
      <c r="M941" s="13">
        <v>561</v>
      </c>
      <c r="N941" s="13">
        <v>294</v>
      </c>
      <c r="O941" s="15"/>
      <c r="P941" s="6">
        <v>40920.568206018521</v>
      </c>
      <c r="Q941" s="16" t="s">
        <v>2080</v>
      </c>
      <c r="R941" s="17" t="s">
        <v>3583</v>
      </c>
      <c r="S941" s="11" t="s">
        <v>3584</v>
      </c>
      <c r="T941" s="12"/>
      <c r="U941" s="10" t="str">
        <f>HYPERLINK("https://pbs.twimg.com/profile_images/1056654151860584448/Jb4Od-3o.jpg","View")</f>
        <v>View</v>
      </c>
    </row>
    <row r="942" spans="1:21" ht="20.399999999999999">
      <c r="A942" s="6">
        <v>43441.678483796291</v>
      </c>
      <c r="B942" s="7" t="str">
        <f>HYPERLINK("https://twitter.com/LaVanguardia","@LaVanguardia")</f>
        <v>@LaVanguardia</v>
      </c>
      <c r="C942" s="8" t="s">
        <v>297</v>
      </c>
      <c r="D942" s="9" t="s">
        <v>3540</v>
      </c>
      <c r="E942" s="10" t="str">
        <f>HYPERLINK("https://twitter.com/LaVanguardia/status/1071061022272819200","1071061022272819200")</f>
        <v>1071061022272819200</v>
      </c>
      <c r="F942" s="11" t="s">
        <v>3541</v>
      </c>
      <c r="G942" s="12"/>
      <c r="H942" s="12"/>
      <c r="I942" s="13">
        <v>1</v>
      </c>
      <c r="J942" s="13">
        <v>3</v>
      </c>
      <c r="K942" s="14" t="str">
        <f>HYPERLINK("http://www.lavanguardia.es","App publicación twits DGRID")</f>
        <v>App publicación twits DGRID</v>
      </c>
      <c r="L942" s="13">
        <v>999506</v>
      </c>
      <c r="M942" s="13">
        <v>524</v>
      </c>
      <c r="N942" s="13">
        <v>12587</v>
      </c>
      <c r="O942" s="18" t="s">
        <v>41</v>
      </c>
      <c r="P942" s="6">
        <v>40071.664548611108</v>
      </c>
      <c r="Q942" s="16" t="s">
        <v>85</v>
      </c>
      <c r="R942" s="17" t="s">
        <v>301</v>
      </c>
      <c r="S942" s="11" t="s">
        <v>304</v>
      </c>
      <c r="T942" s="12"/>
      <c r="U942" s="10" t="str">
        <f>HYPERLINK("https://pbs.twimg.com/profile_images/936873783721320448/6Q97S0pp.jpg","View")</f>
        <v>View</v>
      </c>
    </row>
    <row r="943" spans="1:21" ht="51">
      <c r="A943" s="6">
        <v>43441.678402777776</v>
      </c>
      <c r="B943" s="7" t="str">
        <f>HYPERLINK("https://twitter.com/Tamar98033301","@Tamar98033301")</f>
        <v>@Tamar98033301</v>
      </c>
      <c r="C943" s="8" t="s">
        <v>3586</v>
      </c>
      <c r="D943" s="9" t="s">
        <v>3587</v>
      </c>
      <c r="E943" s="10" t="str">
        <f>HYPERLINK("https://twitter.com/Tamar98033301/status/1071060992363245569","1071060992363245569")</f>
        <v>1071060992363245569</v>
      </c>
      <c r="F943" s="12"/>
      <c r="G943" s="12"/>
      <c r="H943" s="12"/>
      <c r="I943" s="13">
        <v>0</v>
      </c>
      <c r="J943" s="13">
        <v>0</v>
      </c>
      <c r="K943" s="14" t="str">
        <f>HYPERLINK("http://twitter.com/download/android","Twitter for Android")</f>
        <v>Twitter for Android</v>
      </c>
      <c r="L943" s="13">
        <v>20</v>
      </c>
      <c r="M943" s="13">
        <v>36</v>
      </c>
      <c r="N943" s="13">
        <v>0</v>
      </c>
      <c r="O943" s="15"/>
      <c r="P943" s="6">
        <v>43265.840810185182</v>
      </c>
      <c r="Q943" s="16" t="s">
        <v>87</v>
      </c>
      <c r="R943" s="19"/>
      <c r="S943" s="12"/>
      <c r="T943" s="12"/>
      <c r="U943" s="10" t="str">
        <f>HYPERLINK("https://pbs.twimg.com/profile_images/1047956462604091392/qa2kq93m.jpg","View")</f>
        <v>View</v>
      </c>
    </row>
    <row r="944" spans="1:21" ht="30.6">
      <c r="A944" s="6">
        <v>43441.674803240741</v>
      </c>
      <c r="B944" s="7" t="str">
        <f>HYPERLINK("https://twitter.com/pressdigital","@pressdigital")</f>
        <v>@pressdigital</v>
      </c>
      <c r="C944" s="8" t="s">
        <v>1446</v>
      </c>
      <c r="D944" s="9" t="s">
        <v>2963</v>
      </c>
      <c r="E944" s="10" t="str">
        <f>HYPERLINK("https://twitter.com/pressdigital/status/1071059688232505344","1071059688232505344")</f>
        <v>1071059688232505344</v>
      </c>
      <c r="F944" s="11" t="s">
        <v>3591</v>
      </c>
      <c r="G944" s="12"/>
      <c r="H944" s="12"/>
      <c r="I944" s="13">
        <v>0</v>
      </c>
      <c r="J944" s="13">
        <v>0</v>
      </c>
      <c r="K944" s="14" t="str">
        <f>HYPERLINK("https://ifttt.com","IFTTT")</f>
        <v>IFTTT</v>
      </c>
      <c r="L944" s="13">
        <v>1212</v>
      </c>
      <c r="M944" s="13">
        <v>1127</v>
      </c>
      <c r="N944" s="13">
        <v>73</v>
      </c>
      <c r="O944" s="15"/>
      <c r="P944" s="6">
        <v>40142.836041666669</v>
      </c>
      <c r="Q944" s="16" t="s">
        <v>60</v>
      </c>
      <c r="R944" s="17" t="s">
        <v>1448</v>
      </c>
      <c r="S944" s="11" t="s">
        <v>1449</v>
      </c>
      <c r="T944" s="12"/>
      <c r="U944" s="10" t="str">
        <f>HYPERLINK("https://pbs.twimg.com/profile_images/686495616231444480/68bUHQ6J.jpg","View")</f>
        <v>View</v>
      </c>
    </row>
    <row r="945" spans="1:21" ht="40.799999999999997">
      <c r="A945" s="6">
        <v>43441.673784722225</v>
      </c>
      <c r="B945" s="7" t="str">
        <f>HYPERLINK("https://twitter.com/PatriotaNene","@PatriotaNene")</f>
        <v>@PatriotaNene</v>
      </c>
      <c r="C945" s="8" t="s">
        <v>3592</v>
      </c>
      <c r="D945" s="9" t="s">
        <v>3593</v>
      </c>
      <c r="E945" s="10" t="str">
        <f>HYPERLINK("https://twitter.com/PatriotaNene/status/1071059316780748802","1071059316780748802")</f>
        <v>1071059316780748802</v>
      </c>
      <c r="F945" s="11" t="s">
        <v>3594</v>
      </c>
      <c r="G945" s="12"/>
      <c r="H945" s="12"/>
      <c r="I945" s="13">
        <v>0</v>
      </c>
      <c r="J945" s="13">
        <v>2</v>
      </c>
      <c r="K945" s="14" t="str">
        <f>HYPERLINK("http://twitter.com","Twitter Web Client")</f>
        <v>Twitter Web Client</v>
      </c>
      <c r="L945" s="13">
        <v>8335</v>
      </c>
      <c r="M945" s="13">
        <v>1971</v>
      </c>
      <c r="N945" s="13">
        <v>52</v>
      </c>
      <c r="O945" s="15"/>
      <c r="P945" s="6">
        <v>42413.167222222226</v>
      </c>
      <c r="Q945" s="16" t="s">
        <v>3595</v>
      </c>
      <c r="R945" s="17" t="s">
        <v>3596</v>
      </c>
      <c r="S945" s="12"/>
      <c r="T945" s="12"/>
      <c r="U945" s="10" t="str">
        <f>HYPERLINK("https://pbs.twimg.com/profile_images/984160089396441089/jXDkkxlk.jpg","View")</f>
        <v>View</v>
      </c>
    </row>
    <row r="946" spans="1:21" ht="40.799999999999997">
      <c r="A946" s="6">
        <v>43441.672939814816</v>
      </c>
      <c r="B946" s="7" t="str">
        <f>HYPERLINK("https://twitter.com/ENTORNOi","@ENTORNOi")</f>
        <v>@ENTORNOi</v>
      </c>
      <c r="C946" s="8" t="s">
        <v>3597</v>
      </c>
      <c r="D946" s="9" t="s">
        <v>3598</v>
      </c>
      <c r="E946" s="10" t="str">
        <f>HYPERLINK("https://twitter.com/ENTORNOi/status/1071059011728887808","1071059011728887808")</f>
        <v>1071059011728887808</v>
      </c>
      <c r="F946" s="11" t="s">
        <v>3599</v>
      </c>
      <c r="G946" s="11" t="s">
        <v>3600</v>
      </c>
      <c r="H946" s="12"/>
      <c r="I946" s="13">
        <v>0</v>
      </c>
      <c r="J946" s="13">
        <v>0</v>
      </c>
      <c r="K946" s="14" t="str">
        <f>HYPERLINK("http://www.entornointeligente.com","NuevoATENTORNOI")</f>
        <v>NuevoATENTORNOI</v>
      </c>
      <c r="L946" s="13">
        <v>133440</v>
      </c>
      <c r="M946" s="13">
        <v>41374</v>
      </c>
      <c r="N946" s="13">
        <v>1277</v>
      </c>
      <c r="O946" s="15"/>
      <c r="P946" s="6">
        <v>39994.083645833336</v>
      </c>
      <c r="Q946" s="16" t="s">
        <v>871</v>
      </c>
      <c r="R946" s="17" t="s">
        <v>3601</v>
      </c>
      <c r="S946" s="11" t="s">
        <v>3602</v>
      </c>
      <c r="T946" s="12"/>
      <c r="U946" s="10" t="str">
        <f>HYPERLINK("https://pbs.twimg.com/profile_images/378800000572518035/83ae37ca851b262228997e87ebfcf97c.png","View")</f>
        <v>View</v>
      </c>
    </row>
    <row r="947" spans="1:21" ht="30.6">
      <c r="A947" s="6">
        <v>43441.672500000001</v>
      </c>
      <c r="B947" s="7" t="str">
        <f>HYPERLINK("https://twitter.com/primero_lo","@primero_lo")</f>
        <v>@primero_lo</v>
      </c>
      <c r="C947" s="8" t="s">
        <v>3603</v>
      </c>
      <c r="D947" s="9" t="s">
        <v>3604</v>
      </c>
      <c r="E947" s="10" t="str">
        <f>HYPERLINK("https://twitter.com/primero_lo/status/1071058853041762304","1071058853041762304")</f>
        <v>1071058853041762304</v>
      </c>
      <c r="F947" s="12"/>
      <c r="G947" s="11" t="s">
        <v>3605</v>
      </c>
      <c r="H947" s="12"/>
      <c r="I947" s="13">
        <v>0</v>
      </c>
      <c r="J947" s="13">
        <v>0</v>
      </c>
      <c r="K947" s="14" t="str">
        <f>HYPERLINK("http://twitter.com/download/iphone","Twitter for iPhone")</f>
        <v>Twitter for iPhone</v>
      </c>
      <c r="L947" s="13">
        <v>128</v>
      </c>
      <c r="M947" s="13">
        <v>783</v>
      </c>
      <c r="N947" s="13">
        <v>0</v>
      </c>
      <c r="O947" s="15"/>
      <c r="P947" s="6">
        <v>43440.072951388887</v>
      </c>
      <c r="Q947" s="12"/>
      <c r="R947" s="17" t="s">
        <v>3606</v>
      </c>
      <c r="S947" s="12"/>
      <c r="T947" s="12"/>
      <c r="U947" s="10" t="str">
        <f>HYPERLINK("https://pbs.twimg.com/profile_images/1070480090386100224/2P3mwv0Z.jpg","View")</f>
        <v>View</v>
      </c>
    </row>
    <row r="948" spans="1:21" ht="30.6">
      <c r="A948" s="6">
        <v>43441.671921296293</v>
      </c>
      <c r="B948" s="7" t="str">
        <f>HYPERLINK("https://twitter.com/jesusocaridad","@jesusocaridad")</f>
        <v>@jesusocaridad</v>
      </c>
      <c r="C948" s="8" t="s">
        <v>2927</v>
      </c>
      <c r="D948" s="9" t="s">
        <v>3607</v>
      </c>
      <c r="E948" s="10" t="str">
        <f>HYPERLINK("https://twitter.com/jesusocaridad/status/1071058641866907650","1071058641866907650")</f>
        <v>1071058641866907650</v>
      </c>
      <c r="F948" s="11" t="s">
        <v>1176</v>
      </c>
      <c r="G948" s="12"/>
      <c r="H948" s="12"/>
      <c r="I948" s="13">
        <v>0</v>
      </c>
      <c r="J948" s="13">
        <v>0</v>
      </c>
      <c r="K948" s="14" t="str">
        <f>HYPERLINK("http://twitter.com/download/android","Twitter for Android")</f>
        <v>Twitter for Android</v>
      </c>
      <c r="L948" s="13">
        <v>44</v>
      </c>
      <c r="M948" s="13">
        <v>122</v>
      </c>
      <c r="N948" s="13">
        <v>3</v>
      </c>
      <c r="O948" s="15"/>
      <c r="P948" s="6">
        <v>41495.792581018519</v>
      </c>
      <c r="Q948" s="16" t="s">
        <v>200</v>
      </c>
      <c r="R948" s="17" t="s">
        <v>2930</v>
      </c>
      <c r="S948" s="12"/>
      <c r="T948" s="12"/>
      <c r="U948" s="10" t="str">
        <f>HYPERLINK("https://pbs.twimg.com/profile_images/1033302949034897409/VttNarc4.jpg","View")</f>
        <v>View</v>
      </c>
    </row>
    <row r="949" spans="1:21" ht="20.399999999999999">
      <c r="A949" s="6">
        <v>43441.67188657407</v>
      </c>
      <c r="B949" s="7" t="str">
        <f>HYPERLINK("https://twitter.com/DiariCatLliure","@DiariCatLliure")</f>
        <v>@DiariCatLliure</v>
      </c>
      <c r="C949" s="8" t="s">
        <v>3608</v>
      </c>
      <c r="D949" s="9" t="s">
        <v>2464</v>
      </c>
      <c r="E949" s="10" t="str">
        <f>HYPERLINK("https://twitter.com/DiariCatLliure/status/1071058629573386240","1071058629573386240")</f>
        <v>1071058629573386240</v>
      </c>
      <c r="F949" s="11" t="s">
        <v>2465</v>
      </c>
      <c r="G949" s="12"/>
      <c r="H949" s="12"/>
      <c r="I949" s="13">
        <v>0</v>
      </c>
      <c r="J949" s="13">
        <v>0</v>
      </c>
      <c r="K949" s="14" t="str">
        <f>HYPERLINK("http://catalunyalliure.cat","DiariCatLliure")</f>
        <v>DiariCatLliure</v>
      </c>
      <c r="L949" s="13">
        <v>9187</v>
      </c>
      <c r="M949" s="13">
        <v>4786</v>
      </c>
      <c r="N949" s="13">
        <v>92</v>
      </c>
      <c r="O949" s="15"/>
      <c r="P949" s="6">
        <v>41856.782430555555</v>
      </c>
      <c r="Q949" s="16" t="s">
        <v>3609</v>
      </c>
      <c r="R949" s="17" t="s">
        <v>3610</v>
      </c>
      <c r="S949" s="11" t="s">
        <v>3611</v>
      </c>
      <c r="T949" s="12"/>
      <c r="U949" s="10" t="str">
        <f>HYPERLINK("https://pbs.twimg.com/profile_images/899910179852095488/HwZ7QWW5.jpg","View")</f>
        <v>View</v>
      </c>
    </row>
    <row r="950" spans="1:21" ht="51">
      <c r="A950" s="6">
        <v>43441.67087962963</v>
      </c>
      <c r="B950" s="7" t="str">
        <f>HYPERLINK("https://twitter.com/VoxZamora","@VoxZamora")</f>
        <v>@VoxZamora</v>
      </c>
      <c r="C950" s="8" t="s">
        <v>3612</v>
      </c>
      <c r="D950" s="9" t="s">
        <v>3613</v>
      </c>
      <c r="E950" s="10" t="str">
        <f>HYPERLINK("https://twitter.com/VoxZamora/status/1071058266636075008","1071058266636075008")</f>
        <v>1071058266636075008</v>
      </c>
      <c r="F950" s="12"/>
      <c r="G950" s="11" t="s">
        <v>3614</v>
      </c>
      <c r="H950" s="12"/>
      <c r="I950" s="13">
        <v>1</v>
      </c>
      <c r="J950" s="13">
        <v>2</v>
      </c>
      <c r="K950" s="14" t="str">
        <f>HYPERLINK("http://twitter.com/download/android","Twitter for Android")</f>
        <v>Twitter for Android</v>
      </c>
      <c r="L950" s="13">
        <v>27</v>
      </c>
      <c r="M950" s="13">
        <v>161</v>
      </c>
      <c r="N950" s="13">
        <v>0</v>
      </c>
      <c r="O950" s="15"/>
      <c r="P950" s="6">
        <v>43440.097291666665</v>
      </c>
      <c r="Q950" s="16" t="s">
        <v>3615</v>
      </c>
      <c r="R950" s="17" t="s">
        <v>3616</v>
      </c>
      <c r="S950" s="12"/>
      <c r="T950" s="12"/>
      <c r="U950" s="10" t="str">
        <f>HYPERLINK("https://pbs.twimg.com/profile_images/1070676232017244163/o24IdRYF.jpg","View")</f>
        <v>View</v>
      </c>
    </row>
    <row r="951" spans="1:21" ht="30.6">
      <c r="A951" s="6">
        <v>43441.670613425929</v>
      </c>
      <c r="B951" s="7" t="str">
        <f>HYPERLINK("https://twitter.com/PilatesLasMatas","@PilatesLasMatas")</f>
        <v>@PilatesLasMatas</v>
      </c>
      <c r="C951" s="8" t="s">
        <v>3617</v>
      </c>
      <c r="D951" s="9" t="s">
        <v>1175</v>
      </c>
      <c r="E951" s="10" t="str">
        <f>HYPERLINK("https://twitter.com/PilatesLasMatas/status/1071058167910547456","1071058167910547456")</f>
        <v>1071058167910547456</v>
      </c>
      <c r="F951" s="11" t="s">
        <v>3618</v>
      </c>
      <c r="G951" s="12"/>
      <c r="H951" s="12"/>
      <c r="I951" s="13">
        <v>0</v>
      </c>
      <c r="J951" s="13">
        <v>0</v>
      </c>
      <c r="K951" s="14" t="str">
        <f>HYPERLINK("http://www.facebook.com/twitter","Facebook")</f>
        <v>Facebook</v>
      </c>
      <c r="L951" s="13">
        <v>505</v>
      </c>
      <c r="M951" s="13">
        <v>820</v>
      </c>
      <c r="N951" s="13">
        <v>11</v>
      </c>
      <c r="O951" s="15"/>
      <c r="P951" s="6">
        <v>41213.529178240744</v>
      </c>
      <c r="Q951" s="16" t="s">
        <v>3619</v>
      </c>
      <c r="R951" s="17" t="s">
        <v>3620</v>
      </c>
      <c r="S951" s="11" t="s">
        <v>3621</v>
      </c>
      <c r="T951" s="12"/>
      <c r="U951" s="10" t="str">
        <f>HYPERLINK("https://pbs.twimg.com/profile_images/2790501165/cee0830887d70dcbdd6cf6cf88c3e700.jpeg","View")</f>
        <v>View</v>
      </c>
    </row>
    <row r="952" spans="1:21" ht="13.2">
      <c r="A952" s="6">
        <v>43441.670567129629</v>
      </c>
      <c r="B952" s="7" t="str">
        <f>HYPERLINK("https://twitter.com/amaynar","@amaynar")</f>
        <v>@amaynar</v>
      </c>
      <c r="C952" s="8" t="s">
        <v>3622</v>
      </c>
      <c r="D952" s="9" t="s">
        <v>3623</v>
      </c>
      <c r="E952" s="10" t="str">
        <f>HYPERLINK("https://twitter.com/amaynar/status/1071058153570107392","1071058153570107392")</f>
        <v>1071058153570107392</v>
      </c>
      <c r="F952" s="11" t="s">
        <v>2242</v>
      </c>
      <c r="G952" s="12"/>
      <c r="H952" s="12"/>
      <c r="I952" s="13">
        <v>0</v>
      </c>
      <c r="J952" s="13">
        <v>0</v>
      </c>
      <c r="K952" s="14" t="str">
        <f t="shared" ref="K952:K955" si="162">HYPERLINK("http://twitter.com/download/android","Twitter for Android")</f>
        <v>Twitter for Android</v>
      </c>
      <c r="L952" s="13">
        <v>335</v>
      </c>
      <c r="M952" s="13">
        <v>306</v>
      </c>
      <c r="N952" s="13">
        <v>4</v>
      </c>
      <c r="O952" s="15"/>
      <c r="P952" s="6">
        <v>40223.428587962961</v>
      </c>
      <c r="Q952" s="12"/>
      <c r="R952" s="19"/>
      <c r="S952" s="12"/>
      <c r="T952" s="12"/>
      <c r="U952" s="10" t="str">
        <f>HYPERLINK("https://pbs.twimg.com/profile_images/1053735601139257349/H8jFJp08.jpg","View")</f>
        <v>View</v>
      </c>
    </row>
    <row r="953" spans="1:21" ht="51">
      <c r="A953" s="6">
        <v>43441.669803240744</v>
      </c>
      <c r="B953" s="7" t="str">
        <f>HYPERLINK("https://twitter.com/danielmarin1995","@danielmarin1995")</f>
        <v>@danielmarin1995</v>
      </c>
      <c r="C953" s="8" t="s">
        <v>3624</v>
      </c>
      <c r="D953" s="9" t="s">
        <v>3625</v>
      </c>
      <c r="E953" s="10" t="str">
        <f>HYPERLINK("https://twitter.com/danielmarin1995/status/1071057873705336832","1071057873705336832")</f>
        <v>1071057873705336832</v>
      </c>
      <c r="F953" s="12"/>
      <c r="G953" s="12"/>
      <c r="H953" s="12"/>
      <c r="I953" s="13">
        <v>1</v>
      </c>
      <c r="J953" s="13">
        <v>1</v>
      </c>
      <c r="K953" s="14" t="str">
        <f t="shared" si="162"/>
        <v>Twitter for Android</v>
      </c>
      <c r="L953" s="13">
        <v>535</v>
      </c>
      <c r="M953" s="13">
        <v>497</v>
      </c>
      <c r="N953" s="13">
        <v>6</v>
      </c>
      <c r="O953" s="15"/>
      <c r="P953" s="6">
        <v>41009.999699074076</v>
      </c>
      <c r="Q953" s="12"/>
      <c r="R953" s="17" t="s">
        <v>3626</v>
      </c>
      <c r="S953" s="12"/>
      <c r="T953" s="12"/>
      <c r="U953" s="10" t="str">
        <f>HYPERLINK("https://pbs.twimg.com/profile_images/1041808334024790016/9IfQNtpn.jpg","View")</f>
        <v>View</v>
      </c>
    </row>
    <row r="954" spans="1:21" ht="81.599999999999994">
      <c r="A954" s="6">
        <v>43441.669641203705</v>
      </c>
      <c r="B954" s="7" t="str">
        <f t="shared" ref="B954:B955" si="163">HYPERLINK("https://twitter.com/AlcaideMarga","@AlcaideMarga")</f>
        <v>@AlcaideMarga</v>
      </c>
      <c r="C954" s="8" t="s">
        <v>3627</v>
      </c>
      <c r="D954" s="9" t="s">
        <v>3628</v>
      </c>
      <c r="E954" s="10" t="str">
        <f>HYPERLINK("https://twitter.com/AlcaideMarga/status/1071057815924543491","1071057815924543491")</f>
        <v>1071057815924543491</v>
      </c>
      <c r="F954" s="16" t="s">
        <v>3629</v>
      </c>
      <c r="G954" s="12"/>
      <c r="H954" s="12"/>
      <c r="I954" s="13">
        <v>0</v>
      </c>
      <c r="J954" s="13">
        <v>0</v>
      </c>
      <c r="K954" s="14" t="str">
        <f t="shared" si="162"/>
        <v>Twitter for Android</v>
      </c>
      <c r="L954" s="13">
        <v>797</v>
      </c>
      <c r="M954" s="13">
        <v>1237</v>
      </c>
      <c r="N954" s="13">
        <v>3</v>
      </c>
      <c r="O954" s="15"/>
      <c r="P954" s="6">
        <v>43105.863912037035</v>
      </c>
      <c r="Q954" s="16" t="s">
        <v>3630</v>
      </c>
      <c r="R954" s="17" t="s">
        <v>3631</v>
      </c>
      <c r="S954" s="12"/>
      <c r="T954" s="12"/>
      <c r="U954" s="10" t="str">
        <f t="shared" ref="U954:U955" si="164">HYPERLINK("https://pbs.twimg.com/profile_images/1051525111914860544/HP0510BS.jpg","View")</f>
        <v>View</v>
      </c>
    </row>
    <row r="955" spans="1:21" ht="30.6">
      <c r="A955" s="6">
        <v>43441.668310185181</v>
      </c>
      <c r="B955" s="7" t="str">
        <f t="shared" si="163"/>
        <v>@AlcaideMarga</v>
      </c>
      <c r="C955" s="8" t="s">
        <v>3627</v>
      </c>
      <c r="D955" s="9" t="s">
        <v>2428</v>
      </c>
      <c r="E955" s="10" t="str">
        <f>HYPERLINK("https://twitter.com/AlcaideMarga/status/1071057334623981570","1071057334623981570")</f>
        <v>1071057334623981570</v>
      </c>
      <c r="F955" s="11" t="s">
        <v>246</v>
      </c>
      <c r="G955" s="12"/>
      <c r="H955" s="12"/>
      <c r="I955" s="13">
        <v>0</v>
      </c>
      <c r="J955" s="13">
        <v>3</v>
      </c>
      <c r="K955" s="14" t="str">
        <f t="shared" si="162"/>
        <v>Twitter for Android</v>
      </c>
      <c r="L955" s="13">
        <v>797</v>
      </c>
      <c r="M955" s="13">
        <v>1237</v>
      </c>
      <c r="N955" s="13">
        <v>3</v>
      </c>
      <c r="O955" s="15"/>
      <c r="P955" s="6">
        <v>43105.863912037035</v>
      </c>
      <c r="Q955" s="16" t="s">
        <v>3630</v>
      </c>
      <c r="R955" s="17" t="s">
        <v>3631</v>
      </c>
      <c r="S955" s="12"/>
      <c r="T955" s="12"/>
      <c r="U955" s="10" t="str">
        <f t="shared" si="164"/>
        <v>View</v>
      </c>
    </row>
    <row r="956" spans="1:21" ht="30.6">
      <c r="A956" s="6">
        <v>43441.666689814811</v>
      </c>
      <c r="B956" s="7" t="str">
        <f>HYPERLINK("https://twitter.com/HoraJaen","@HoraJaen")</f>
        <v>@HoraJaen</v>
      </c>
      <c r="C956" s="20" t="s">
        <v>3632</v>
      </c>
      <c r="D956" s="9" t="s">
        <v>3633</v>
      </c>
      <c r="E956" s="10" t="str">
        <f>HYPERLINK("https://twitter.com/HoraJaen/status/1071056746334973952","1071056746334973952")</f>
        <v>1071056746334973952</v>
      </c>
      <c r="F956" s="11" t="s">
        <v>3634</v>
      </c>
      <c r="G956" s="12"/>
      <c r="H956" s="12"/>
      <c r="I956" s="13">
        <v>2</v>
      </c>
      <c r="J956" s="13">
        <v>5</v>
      </c>
      <c r="K956" s="14" t="str">
        <f>HYPERLINK("https://about.twitter.com/products/tweetdeck","TweetDeck")</f>
        <v>TweetDeck</v>
      </c>
      <c r="L956" s="13">
        <v>13348</v>
      </c>
      <c r="M956" s="13">
        <v>1216</v>
      </c>
      <c r="N956" s="13">
        <v>125</v>
      </c>
      <c r="O956" s="15"/>
      <c r="P956" s="6">
        <v>41934.68141203704</v>
      </c>
      <c r="Q956" s="16" t="s">
        <v>3635</v>
      </c>
      <c r="R956" s="17" t="s">
        <v>3636</v>
      </c>
      <c r="S956" s="11" t="s">
        <v>3637</v>
      </c>
      <c r="T956" s="12"/>
      <c r="U956" s="10" t="str">
        <f>HYPERLINK("https://pbs.twimg.com/profile_images/788995779805454336/uKA0gqFa.jpg","View")</f>
        <v>View</v>
      </c>
    </row>
    <row r="957" spans="1:21" ht="40.799999999999997">
      <c r="A957" s="6">
        <v>43441.666516203702</v>
      </c>
      <c r="B957" s="7" t="str">
        <f>HYPERLINK("https://twitter.com/azoteGranLider","@azoteGranLider")</f>
        <v>@azoteGranLider</v>
      </c>
      <c r="C957" s="8" t="s">
        <v>3638</v>
      </c>
      <c r="D957" s="9" t="s">
        <v>3639</v>
      </c>
      <c r="E957" s="10" t="str">
        <f>HYPERLINK("https://twitter.com/azoteGranLider/status/1071056685660286976","1071056685660286976")</f>
        <v>1071056685660286976</v>
      </c>
      <c r="F957" s="11" t="s">
        <v>3640</v>
      </c>
      <c r="G957" s="11" t="s">
        <v>3641</v>
      </c>
      <c r="H957" s="12"/>
      <c r="I957" s="13">
        <v>0</v>
      </c>
      <c r="J957" s="13">
        <v>0</v>
      </c>
      <c r="K957" s="14" t="str">
        <f t="shared" ref="K957:K958" si="165">HYPERLINK("http://twitter.com/download/android","Twitter for Android")</f>
        <v>Twitter for Android</v>
      </c>
      <c r="L957" s="13">
        <v>438</v>
      </c>
      <c r="M957" s="13">
        <v>235</v>
      </c>
      <c r="N957" s="13">
        <v>8</v>
      </c>
      <c r="O957" s="15"/>
      <c r="P957" s="6">
        <v>42573.031539351854</v>
      </c>
      <c r="Q957" s="12"/>
      <c r="R957" s="17" t="s">
        <v>3642</v>
      </c>
      <c r="S957" s="12"/>
      <c r="T957" s="12"/>
      <c r="U957" s="10" t="str">
        <f>HYPERLINK("https://pbs.twimg.com/profile_images/824920216052305920/8PyOwjt-.jpg","View")</f>
        <v>View</v>
      </c>
    </row>
    <row r="958" spans="1:21" ht="20.399999999999999">
      <c r="A958" s="6">
        <v>43441.666504629626</v>
      </c>
      <c r="B958" s="7" t="str">
        <f>HYPERLINK("https://twitter.com/kent_victoria2","@kent_victoria2")</f>
        <v>@kent_victoria2</v>
      </c>
      <c r="C958" s="8" t="s">
        <v>3643</v>
      </c>
      <c r="D958" s="9" t="s">
        <v>3317</v>
      </c>
      <c r="E958" s="10" t="str">
        <f>HYPERLINK("https://twitter.com/kent_victoria2/status/1071056680887181312","1071056680887181312")</f>
        <v>1071056680887181312</v>
      </c>
      <c r="F958" s="11" t="s">
        <v>3644</v>
      </c>
      <c r="G958" s="12"/>
      <c r="H958" s="12"/>
      <c r="I958" s="13">
        <v>0</v>
      </c>
      <c r="J958" s="13">
        <v>0</v>
      </c>
      <c r="K958" s="14" t="str">
        <f t="shared" si="165"/>
        <v>Twitter for Android</v>
      </c>
      <c r="L958" s="13">
        <v>123</v>
      </c>
      <c r="M958" s="13">
        <v>88</v>
      </c>
      <c r="N958" s="13">
        <v>0</v>
      </c>
      <c r="O958" s="15"/>
      <c r="P958" s="6">
        <v>43115.9296875</v>
      </c>
      <c r="Q958" s="12"/>
      <c r="R958" s="17" t="s">
        <v>3645</v>
      </c>
      <c r="S958" s="12"/>
      <c r="T958" s="12"/>
      <c r="U958" s="10" t="str">
        <f>HYPERLINK("https://pbs.twimg.com/profile_images/953015959551430658/YpSkPu1g.jpg","View")</f>
        <v>View</v>
      </c>
    </row>
    <row r="959" spans="1:21" ht="51">
      <c r="A959" s="6">
        <v>43441.665555555555</v>
      </c>
      <c r="B959" s="7" t="str">
        <f>HYPERLINK("https://twitter.com/Galegocubana","@Galegocubana")</f>
        <v>@Galegocubana</v>
      </c>
      <c r="C959" s="8" t="s">
        <v>3646</v>
      </c>
      <c r="D959" s="9" t="s">
        <v>3647</v>
      </c>
      <c r="E959" s="10" t="str">
        <f>HYPERLINK("https://twitter.com/Galegocubana/status/1071056336320897025","1071056336320897025")</f>
        <v>1071056336320897025</v>
      </c>
      <c r="F959" s="11" t="s">
        <v>3648</v>
      </c>
      <c r="G959" s="12"/>
      <c r="H959" s="12"/>
      <c r="I959" s="13">
        <v>0</v>
      </c>
      <c r="J959" s="13">
        <v>0</v>
      </c>
      <c r="K959" s="14" t="str">
        <f>HYPERLINK("http://twitter.com","Twitter Web Client")</f>
        <v>Twitter Web Client</v>
      </c>
      <c r="L959" s="13">
        <v>277</v>
      </c>
      <c r="M959" s="13">
        <v>94</v>
      </c>
      <c r="N959" s="13">
        <v>2</v>
      </c>
      <c r="O959" s="15"/>
      <c r="P959" s="6">
        <v>42172.944456018522</v>
      </c>
      <c r="Q959" s="12"/>
      <c r="R959" s="19"/>
      <c r="S959" s="12"/>
      <c r="T959" s="12"/>
      <c r="U959" s="10" t="str">
        <f>HYPERLINK("https://pbs.twimg.com/profile_images/1059046455581794305/1Av5lGWv.jpg","View")</f>
        <v>View</v>
      </c>
    </row>
    <row r="960" spans="1:21" ht="51">
      <c r="A960" s="6">
        <v>43441.663182870368</v>
      </c>
      <c r="B960" s="7" t="str">
        <f>HYPERLINK("https://twitter.com/ElTorniquete","@ElTorniquete")</f>
        <v>@ElTorniquete</v>
      </c>
      <c r="C960" s="8" t="s">
        <v>3649</v>
      </c>
      <c r="D960" s="9" t="s">
        <v>3650</v>
      </c>
      <c r="E960" s="10" t="str">
        <f>HYPERLINK("https://twitter.com/ElTorniquete/status/1071055475670745089","1071055475670745089")</f>
        <v>1071055475670745089</v>
      </c>
      <c r="F960" s="12"/>
      <c r="G960" s="12"/>
      <c r="H960" s="12"/>
      <c r="I960" s="13">
        <v>1</v>
      </c>
      <c r="J960" s="13">
        <v>1</v>
      </c>
      <c r="K960" s="14" t="str">
        <f>HYPERLINK("http://twitter.com/download/android","Twitter for Android")</f>
        <v>Twitter for Android</v>
      </c>
      <c r="L960" s="13">
        <v>75</v>
      </c>
      <c r="M960" s="13">
        <v>212</v>
      </c>
      <c r="N960" s="13">
        <v>1</v>
      </c>
      <c r="O960" s="15"/>
      <c r="P960" s="6">
        <v>42748.756111111114</v>
      </c>
      <c r="Q960" s="12"/>
      <c r="R960" s="17" t="s">
        <v>3651</v>
      </c>
      <c r="S960" s="12"/>
      <c r="T960" s="12"/>
      <c r="U960" s="10" t="str">
        <f>HYPERLINK("https://pbs.twimg.com/profile_images/980008087796043776/dfs8TJGH.jpg","View")</f>
        <v>View</v>
      </c>
    </row>
    <row r="961" spans="1:21" ht="20.399999999999999">
      <c r="A961" s="6">
        <v>43441.663090277776</v>
      </c>
      <c r="B961" s="7" t="str">
        <f>HYPERLINK("https://twitter.com/Ya_Es_Noticia","@Ya_Es_Noticia")</f>
        <v>@Ya_Es_Noticia</v>
      </c>
      <c r="C961" s="8" t="s">
        <v>3652</v>
      </c>
      <c r="D961" s="9" t="s">
        <v>714</v>
      </c>
      <c r="E961" s="10" t="str">
        <f>HYPERLINK("https://twitter.com/Ya_Es_Noticia/status/1071055444100214784","1071055444100214784")</f>
        <v>1071055444100214784</v>
      </c>
      <c r="F961" s="11" t="s">
        <v>715</v>
      </c>
      <c r="G961" s="11" t="s">
        <v>3653</v>
      </c>
      <c r="H961" s="12"/>
      <c r="I961" s="13">
        <v>0</v>
      </c>
      <c r="J961" s="13">
        <v>0</v>
      </c>
      <c r="K961" s="14" t="str">
        <f t="shared" ref="K961:K963" si="166">HYPERLINK("http://epmundo.com","Tuiteo TOP EP (3)")</f>
        <v>Tuiteo TOP EP (3)</v>
      </c>
      <c r="L961" s="13">
        <v>14203</v>
      </c>
      <c r="M961" s="13">
        <v>13688</v>
      </c>
      <c r="N961" s="13">
        <v>70</v>
      </c>
      <c r="O961" s="15"/>
      <c r="P961" s="6">
        <v>42103.9455787037</v>
      </c>
      <c r="Q961" s="12"/>
      <c r="R961" s="17" t="s">
        <v>3654</v>
      </c>
      <c r="S961" s="12"/>
      <c r="T961" s="12"/>
      <c r="U961" s="10" t="str">
        <f>HYPERLINK("https://pbs.twimg.com/profile_images/913478985295777792/GxT5RrjL.jpg","View")</f>
        <v>View</v>
      </c>
    </row>
    <row r="962" spans="1:21" ht="20.399999999999999">
      <c r="A962" s="6">
        <v>43441.66305555556</v>
      </c>
      <c r="B962" s="7" t="str">
        <f>HYPERLINK("https://twitter.com/EP_Espana_","@EP_Espana_")</f>
        <v>@EP_Espana_</v>
      </c>
      <c r="C962" s="8" t="s">
        <v>3655</v>
      </c>
      <c r="D962" s="9" t="s">
        <v>3656</v>
      </c>
      <c r="E962" s="10" t="str">
        <f>HYPERLINK("https://twitter.com/EP_Espana_/status/1071055430674198529","1071055430674198529")</f>
        <v>1071055430674198529</v>
      </c>
      <c r="F962" s="11" t="s">
        <v>715</v>
      </c>
      <c r="G962" s="11" t="s">
        <v>3657</v>
      </c>
      <c r="H962" s="12"/>
      <c r="I962" s="13">
        <v>0</v>
      </c>
      <c r="J962" s="13">
        <v>0</v>
      </c>
      <c r="K962" s="14" t="str">
        <f t="shared" si="166"/>
        <v>Tuiteo TOP EP (3)</v>
      </c>
      <c r="L962" s="13">
        <v>19163</v>
      </c>
      <c r="M962" s="13">
        <v>18912</v>
      </c>
      <c r="N962" s="13">
        <v>86</v>
      </c>
      <c r="O962" s="15"/>
      <c r="P962" s="6">
        <v>42074.115219907406</v>
      </c>
      <c r="Q962" s="16" t="s">
        <v>60</v>
      </c>
      <c r="R962" s="17" t="s">
        <v>3658</v>
      </c>
      <c r="S962" s="11" t="s">
        <v>3659</v>
      </c>
      <c r="T962" s="12"/>
      <c r="U962" s="10" t="str">
        <f>HYPERLINK("https://pbs.twimg.com/profile_images/958330076885643264/bnAGi_iy.jpg","View")</f>
        <v>View</v>
      </c>
    </row>
    <row r="963" spans="1:21" ht="20.399999999999999">
      <c r="A963" s="6">
        <v>43441.663032407407</v>
      </c>
      <c r="B963" s="7" t="str">
        <f>HYPERLINK("https://twitter.com/EP_EEUU","@EP_EEUU")</f>
        <v>@EP_EEUU</v>
      </c>
      <c r="C963" s="8" t="s">
        <v>3660</v>
      </c>
      <c r="D963" s="9" t="s">
        <v>736</v>
      </c>
      <c r="E963" s="10" t="str">
        <f>HYPERLINK("https://twitter.com/EP_EEUU/status/1071055422067535872","1071055422067535872")</f>
        <v>1071055422067535872</v>
      </c>
      <c r="F963" s="11" t="s">
        <v>715</v>
      </c>
      <c r="G963" s="11" t="s">
        <v>3661</v>
      </c>
      <c r="H963" s="12"/>
      <c r="I963" s="13">
        <v>0</v>
      </c>
      <c r="J963" s="13">
        <v>1</v>
      </c>
      <c r="K963" s="14" t="str">
        <f t="shared" si="166"/>
        <v>Tuiteo TOP EP (3)</v>
      </c>
      <c r="L963" s="13">
        <v>71603</v>
      </c>
      <c r="M963" s="13">
        <v>69780</v>
      </c>
      <c r="N963" s="13">
        <v>227</v>
      </c>
      <c r="O963" s="15"/>
      <c r="P963" s="6">
        <v>40710.977870370371</v>
      </c>
      <c r="Q963" s="16" t="s">
        <v>3662</v>
      </c>
      <c r="R963" s="17" t="s">
        <v>3663</v>
      </c>
      <c r="S963" s="11" t="s">
        <v>3664</v>
      </c>
      <c r="T963" s="12"/>
      <c r="U963" s="10" t="str">
        <f>HYPERLINK("https://pbs.twimg.com/profile_images/958331773171191808/TAv5yST9.jpg","View")</f>
        <v>View</v>
      </c>
    </row>
    <row r="964" spans="1:21" ht="51">
      <c r="A964" s="6">
        <v>43441.662523148145</v>
      </c>
      <c r="B964" s="7" t="str">
        <f>HYPERLINK("https://twitter.com/TeresAtrazos","@TeresAtrazos")</f>
        <v>@TeresAtrazos</v>
      </c>
      <c r="C964" s="8" t="s">
        <v>3665</v>
      </c>
      <c r="D964" s="9" t="s">
        <v>3666</v>
      </c>
      <c r="E964" s="10" t="str">
        <f>HYPERLINK("https://twitter.com/TeresAtrazos/status/1071055238025625601","1071055238025625601")</f>
        <v>1071055238025625601</v>
      </c>
      <c r="F964" s="11" t="s">
        <v>3667</v>
      </c>
      <c r="G964" s="12"/>
      <c r="H964" s="12"/>
      <c r="I964" s="13">
        <v>0</v>
      </c>
      <c r="J964" s="13">
        <v>0</v>
      </c>
      <c r="K964" s="14" t="str">
        <f t="shared" ref="K964:K965" si="167">HYPERLINK("http://twitter.com/download/android","Twitter for Android")</f>
        <v>Twitter for Android</v>
      </c>
      <c r="L964" s="13">
        <v>1568</v>
      </c>
      <c r="M964" s="13">
        <v>1748</v>
      </c>
      <c r="N964" s="13">
        <v>50</v>
      </c>
      <c r="O964" s="15"/>
      <c r="P964" s="6">
        <v>40922.926354166666</v>
      </c>
      <c r="Q964" s="16" t="s">
        <v>2453</v>
      </c>
      <c r="R964" s="17" t="s">
        <v>3668</v>
      </c>
      <c r="S964" s="12"/>
      <c r="T964" s="12"/>
      <c r="U964" s="10" t="str">
        <f>HYPERLINK("https://pbs.twimg.com/profile_images/969042018692411393/-A6E1TVi.jpg","View")</f>
        <v>View</v>
      </c>
    </row>
    <row r="965" spans="1:21" ht="30.6">
      <c r="A965" s="6">
        <v>43441.661458333328</v>
      </c>
      <c r="B965" s="7" t="str">
        <f>HYPERLINK("https://twitter.com/ChanChave","@ChanChave")</f>
        <v>@ChanChave</v>
      </c>
      <c r="C965" s="8" t="s">
        <v>3669</v>
      </c>
      <c r="D965" s="9" t="s">
        <v>575</v>
      </c>
      <c r="E965" s="10" t="str">
        <f>HYPERLINK("https://twitter.com/ChanChave/status/1071054850333511680","1071054850333511680")</f>
        <v>1071054850333511680</v>
      </c>
      <c r="F965" s="11" t="s">
        <v>576</v>
      </c>
      <c r="G965" s="12"/>
      <c r="H965" s="12"/>
      <c r="I965" s="13">
        <v>0</v>
      </c>
      <c r="J965" s="13">
        <v>2</v>
      </c>
      <c r="K965" s="14" t="str">
        <f t="shared" si="167"/>
        <v>Twitter for Android</v>
      </c>
      <c r="L965" s="13">
        <v>1534</v>
      </c>
      <c r="M965" s="13">
        <v>1767</v>
      </c>
      <c r="N965" s="13">
        <v>29</v>
      </c>
      <c r="O965" s="15"/>
      <c r="P965" s="6">
        <v>41330.770277777774</v>
      </c>
      <c r="Q965" s="16" t="s">
        <v>26</v>
      </c>
      <c r="R965" s="17" t="s">
        <v>3670</v>
      </c>
      <c r="S965" s="12"/>
      <c r="T965" s="12"/>
      <c r="U965" s="10" t="str">
        <f>HYPERLINK("https://pbs.twimg.com/profile_images/799293272120295424/ANV4MoWm.jpg","View")</f>
        <v>View</v>
      </c>
    </row>
    <row r="966" spans="1:21" ht="20.399999999999999">
      <c r="A966" s="6">
        <v>43441.661273148144</v>
      </c>
      <c r="B966" s="7" t="str">
        <f>HYPERLINK("https://twitter.com/ANTPODEMOS","@ANTPODEMOS")</f>
        <v>@ANTPODEMOS</v>
      </c>
      <c r="C966" s="8" t="s">
        <v>741</v>
      </c>
      <c r="D966" s="9" t="s">
        <v>3671</v>
      </c>
      <c r="E966" s="10" t="str">
        <f>HYPERLINK("https://twitter.com/ANTPODEMOS/status/1071054786479484929","1071054786479484929")</f>
        <v>1071054786479484929</v>
      </c>
      <c r="F966" s="11" t="s">
        <v>3672</v>
      </c>
      <c r="G966" s="12"/>
      <c r="H966" s="12"/>
      <c r="I966" s="13">
        <v>1</v>
      </c>
      <c r="J966" s="13">
        <v>4</v>
      </c>
      <c r="K966" s="14" t="str">
        <f>HYPERLINK("http://www.facebook.com/twitter","Facebook")</f>
        <v>Facebook</v>
      </c>
      <c r="L966" s="13">
        <v>5585</v>
      </c>
      <c r="M966" s="13">
        <v>426</v>
      </c>
      <c r="N966" s="13">
        <v>58</v>
      </c>
      <c r="O966" s="15"/>
      <c r="P966" s="6">
        <v>41956.204837962963</v>
      </c>
      <c r="Q966" s="16" t="s">
        <v>60</v>
      </c>
      <c r="R966" s="17" t="s">
        <v>744</v>
      </c>
      <c r="S966" s="11" t="s">
        <v>745</v>
      </c>
      <c r="T966" s="12"/>
      <c r="U966" s="10" t="str">
        <f>HYPERLINK("https://pbs.twimg.com/profile_images/952681544224854017/rVAhotfW.jpg","View")</f>
        <v>View</v>
      </c>
    </row>
    <row r="967" spans="1:21" ht="51">
      <c r="A967" s="6">
        <v>43441.660914351851</v>
      </c>
      <c r="B967" s="7" t="str">
        <f>HYPERLINK("https://twitter.com/caval100","@caval100")</f>
        <v>@caval100</v>
      </c>
      <c r="C967" s="8" t="s">
        <v>501</v>
      </c>
      <c r="D967" s="9" t="s">
        <v>2223</v>
      </c>
      <c r="E967" s="10" t="str">
        <f>HYPERLINK("https://twitter.com/caval100/status/1071054654207737856","1071054654207737856")</f>
        <v>1071054654207737856</v>
      </c>
      <c r="F967" s="11" t="s">
        <v>2224</v>
      </c>
      <c r="G967" s="12"/>
      <c r="H967" s="12"/>
      <c r="I967" s="13">
        <v>0</v>
      </c>
      <c r="J967" s="13">
        <v>1</v>
      </c>
      <c r="K967" s="14" t="str">
        <f>HYPERLINK("http://twitter.com","Twitter Web Client")</f>
        <v>Twitter Web Client</v>
      </c>
      <c r="L967" s="13">
        <v>119343</v>
      </c>
      <c r="M967" s="13">
        <v>94000</v>
      </c>
      <c r="N967" s="13">
        <v>982</v>
      </c>
      <c r="O967" s="15"/>
      <c r="P967" s="6">
        <v>40079.437094907407</v>
      </c>
      <c r="Q967" s="16" t="s">
        <v>505</v>
      </c>
      <c r="R967" s="17" t="s">
        <v>506</v>
      </c>
      <c r="S967" s="11" t="s">
        <v>507</v>
      </c>
      <c r="T967" s="12"/>
      <c r="U967" s="10" t="str">
        <f>HYPERLINK("https://pbs.twimg.com/profile_images/965350678301429760/uvGI7g8U.jpg","View")</f>
        <v>View</v>
      </c>
    </row>
    <row r="968" spans="1:21" ht="30.6">
      <c r="A968" s="6">
        <v>43441.658819444448</v>
      </c>
      <c r="B968" s="7" t="str">
        <f>HYPERLINK("https://twitter.com/CapRovira","@CapRovira")</f>
        <v>@CapRovira</v>
      </c>
      <c r="C968" s="8" t="s">
        <v>3673</v>
      </c>
      <c r="D968" s="9" t="s">
        <v>3674</v>
      </c>
      <c r="E968" s="10" t="str">
        <f>HYPERLINK("https://twitter.com/CapRovira/status/1071053895361802242","1071053895361802242")</f>
        <v>1071053895361802242</v>
      </c>
      <c r="F968" s="11" t="s">
        <v>3675</v>
      </c>
      <c r="G968" s="12"/>
      <c r="H968" s="12"/>
      <c r="I968" s="13">
        <v>0</v>
      </c>
      <c r="J968" s="13">
        <v>1</v>
      </c>
      <c r="K968" s="14" t="str">
        <f t="shared" ref="K968:K970" si="168">HYPERLINK("http://twitter.com/download/iphone","Twitter for iPhone")</f>
        <v>Twitter for iPhone</v>
      </c>
      <c r="L968" s="13">
        <v>2131</v>
      </c>
      <c r="M968" s="13">
        <v>2133</v>
      </c>
      <c r="N968" s="13">
        <v>1</v>
      </c>
      <c r="O968" s="15"/>
      <c r="P968" s="6">
        <v>43222.414270833338</v>
      </c>
      <c r="Q968" s="16" t="s">
        <v>3676</v>
      </c>
      <c r="R968" s="17" t="s">
        <v>3677</v>
      </c>
      <c r="S968" s="12"/>
      <c r="T968" s="12"/>
      <c r="U968" s="10" t="str">
        <f>HYPERLINK("https://pbs.twimg.com/profile_images/1056978855112654849/7NTgK7Db.jpg","View")</f>
        <v>View</v>
      </c>
    </row>
    <row r="969" spans="1:21" ht="40.799999999999997">
      <c r="A969" s="6">
        <v>43441.658263888894</v>
      </c>
      <c r="B969" s="7" t="str">
        <f>HYPERLINK("https://twitter.com/Jakerrmaster","@Jakerrmaster")</f>
        <v>@Jakerrmaster</v>
      </c>
      <c r="C969" s="8" t="s">
        <v>3678</v>
      </c>
      <c r="D969" s="9" t="s">
        <v>3679</v>
      </c>
      <c r="E969" s="10" t="str">
        <f>HYPERLINK("https://twitter.com/Jakerrmaster/status/1071053694513414144","1071053694513414144")</f>
        <v>1071053694513414144</v>
      </c>
      <c r="F969" s="16" t="s">
        <v>3680</v>
      </c>
      <c r="G969" s="12"/>
      <c r="H969" s="12"/>
      <c r="I969" s="13">
        <v>0</v>
      </c>
      <c r="J969" s="13">
        <v>0</v>
      </c>
      <c r="K969" s="14" t="str">
        <f t="shared" si="168"/>
        <v>Twitter for iPhone</v>
      </c>
      <c r="L969" s="13">
        <v>75</v>
      </c>
      <c r="M969" s="13">
        <v>477</v>
      </c>
      <c r="N969" s="13">
        <v>2</v>
      </c>
      <c r="O969" s="15"/>
      <c r="P969" s="6">
        <v>40477.528877314813</v>
      </c>
      <c r="Q969" s="12"/>
      <c r="R969" s="19"/>
      <c r="S969" s="12"/>
      <c r="T969" s="12"/>
      <c r="U969" s="10" t="str">
        <f>HYPERLINK("https://pbs.twimg.com/profile_images/1653585500/mazinger-z.jpg","View")</f>
        <v>View</v>
      </c>
    </row>
    <row r="970" spans="1:21" ht="51">
      <c r="A970" s="6">
        <v>43441.656423611115</v>
      </c>
      <c r="B970" s="7" t="str">
        <f>HYPERLINK("https://twitter.com/LinaresCILU","@LinaresCILU")</f>
        <v>@LinaresCILU</v>
      </c>
      <c r="C970" s="8" t="s">
        <v>3681</v>
      </c>
      <c r="D970" s="9" t="s">
        <v>3682</v>
      </c>
      <c r="E970" s="10" t="str">
        <f>HYPERLINK("https://twitter.com/LinaresCILU/status/1071053026847350785","1071053026847350785")</f>
        <v>1071053026847350785</v>
      </c>
      <c r="F970" s="12"/>
      <c r="G970" s="11" t="s">
        <v>3683</v>
      </c>
      <c r="H970" s="12"/>
      <c r="I970" s="13">
        <v>2</v>
      </c>
      <c r="J970" s="13">
        <v>14</v>
      </c>
      <c r="K970" s="14" t="str">
        <f t="shared" si="168"/>
        <v>Twitter for iPhone</v>
      </c>
      <c r="L970" s="13">
        <v>1198</v>
      </c>
      <c r="M970" s="13">
        <v>99</v>
      </c>
      <c r="N970" s="13">
        <v>4</v>
      </c>
      <c r="O970" s="15"/>
      <c r="P970" s="6">
        <v>41147.980937500004</v>
      </c>
      <c r="Q970" s="16" t="s">
        <v>3253</v>
      </c>
      <c r="R970" s="17" t="s">
        <v>3684</v>
      </c>
      <c r="S970" s="11" t="s">
        <v>3685</v>
      </c>
      <c r="T970" s="12"/>
      <c r="U970" s="10" t="str">
        <f>HYPERLINK("https://pbs.twimg.com/profile_images/1057369654090518528/O2n2Lr8O.jpg","View")</f>
        <v>View</v>
      </c>
    </row>
    <row r="971" spans="1:21" ht="20.399999999999999">
      <c r="A971" s="6">
        <v>43441.656273148154</v>
      </c>
      <c r="B971" s="7" t="str">
        <f>HYPERLINK("https://twitter.com/HotDog_News","@HotDog_News")</f>
        <v>@HotDog_News</v>
      </c>
      <c r="C971" s="8" t="s">
        <v>713</v>
      </c>
      <c r="D971" s="9" t="s">
        <v>714</v>
      </c>
      <c r="E971" s="10" t="str">
        <f>HYPERLINK("https://twitter.com/HotDog_News/status/1071052972027715585","1071052972027715585")</f>
        <v>1071052972027715585</v>
      </c>
      <c r="F971" s="11" t="s">
        <v>715</v>
      </c>
      <c r="G971" s="11" t="s">
        <v>3686</v>
      </c>
      <c r="H971" s="12"/>
      <c r="I971" s="13">
        <v>0</v>
      </c>
      <c r="J971" s="13">
        <v>0</v>
      </c>
      <c r="K971" s="14" t="str">
        <f t="shared" ref="K971:K972" si="169">HYPERLINK("http://epmundo.com","Tuiteo TOP EP (3)")</f>
        <v>Tuiteo TOP EP (3)</v>
      </c>
      <c r="L971" s="13">
        <v>19769</v>
      </c>
      <c r="M971" s="13">
        <v>19981</v>
      </c>
      <c r="N971" s="13">
        <v>80</v>
      </c>
      <c r="O971" s="15"/>
      <c r="P971" s="6">
        <v>42104.009953703702</v>
      </c>
      <c r="Q971" s="12"/>
      <c r="R971" s="17" t="s">
        <v>717</v>
      </c>
      <c r="S971" s="12"/>
      <c r="T971" s="12"/>
      <c r="U971" s="10" t="str">
        <f>HYPERLINK("https://pbs.twimg.com/profile_images/912774466077364224/ZpIz23zG.jpg","View")</f>
        <v>View</v>
      </c>
    </row>
    <row r="972" spans="1:21" ht="20.399999999999999">
      <c r="A972" s="6">
        <v>43441.65625</v>
      </c>
      <c r="B972" s="7" t="str">
        <f>HYPERLINK("https://twitter.com/EP_Espana_","@EP_Espana_")</f>
        <v>@EP_Espana_</v>
      </c>
      <c r="C972" s="8" t="s">
        <v>3655</v>
      </c>
      <c r="D972" s="9" t="s">
        <v>3687</v>
      </c>
      <c r="E972" s="10" t="str">
        <f>HYPERLINK("https://twitter.com/EP_Espana_/status/1071052965425897473","1071052965425897473")</f>
        <v>1071052965425897473</v>
      </c>
      <c r="F972" s="11" t="s">
        <v>3688</v>
      </c>
      <c r="G972" s="11" t="s">
        <v>3689</v>
      </c>
      <c r="H972" s="12"/>
      <c r="I972" s="13">
        <v>0</v>
      </c>
      <c r="J972" s="13">
        <v>0</v>
      </c>
      <c r="K972" s="14" t="str">
        <f t="shared" si="169"/>
        <v>Tuiteo TOP EP (3)</v>
      </c>
      <c r="L972" s="13">
        <v>19163</v>
      </c>
      <c r="M972" s="13">
        <v>18912</v>
      </c>
      <c r="N972" s="13">
        <v>86</v>
      </c>
      <c r="O972" s="15"/>
      <c r="P972" s="6">
        <v>42074.115219907406</v>
      </c>
      <c r="Q972" s="16" t="s">
        <v>60</v>
      </c>
      <c r="R972" s="17" t="s">
        <v>3658</v>
      </c>
      <c r="S972" s="11" t="s">
        <v>3659</v>
      </c>
      <c r="T972" s="12"/>
      <c r="U972" s="10" t="str">
        <f>HYPERLINK("https://pbs.twimg.com/profile_images/958330076885643264/bnAGi_iy.jpg","View")</f>
        <v>View</v>
      </c>
    </row>
    <row r="973" spans="1:21" ht="40.799999999999997">
      <c r="A973" s="6">
        <v>43441.655833333338</v>
      </c>
      <c r="B973" s="7" t="str">
        <f>HYPERLINK("https://twitter.com/Famelica_legion","@Famelica_legion")</f>
        <v>@Famelica_legion</v>
      </c>
      <c r="C973" s="8" t="s">
        <v>3690</v>
      </c>
      <c r="D973" s="9" t="s">
        <v>3691</v>
      </c>
      <c r="E973" s="10" t="str">
        <f>HYPERLINK("https://twitter.com/Famelica_legion/status/1071052813030051841","1071052813030051841")</f>
        <v>1071052813030051841</v>
      </c>
      <c r="F973" s="11" t="s">
        <v>3692</v>
      </c>
      <c r="G973" s="11" t="s">
        <v>3693</v>
      </c>
      <c r="H973" s="12"/>
      <c r="I973" s="13">
        <v>1</v>
      </c>
      <c r="J973" s="13">
        <v>0</v>
      </c>
      <c r="K973" s="14" t="str">
        <f t="shared" ref="K973:K974" si="170">HYPERLINK("http://twitter.com","Twitter Web Client")</f>
        <v>Twitter Web Client</v>
      </c>
      <c r="L973" s="13">
        <v>57320</v>
      </c>
      <c r="M973" s="13">
        <v>34746</v>
      </c>
      <c r="N973" s="13">
        <v>368</v>
      </c>
      <c r="O973" s="15"/>
      <c r="P973" s="6">
        <v>40999.601747685185</v>
      </c>
      <c r="Q973" s="12"/>
      <c r="R973" s="17" t="s">
        <v>3694</v>
      </c>
      <c r="S973" s="11" t="s">
        <v>3695</v>
      </c>
      <c r="T973" s="12"/>
      <c r="U973" s="10" t="str">
        <f>HYPERLINK("https://pbs.twimg.com/profile_images/875403697219620865/ni6ZDU-O.jpg","View")</f>
        <v>View</v>
      </c>
    </row>
    <row r="974" spans="1:21" ht="51">
      <c r="A974" s="6">
        <v>43441.653379629628</v>
      </c>
      <c r="B974" s="7" t="str">
        <f>HYPERLINK("https://twitter.com/Congreso_Es","@Congreso_Es")</f>
        <v>@Congreso_Es</v>
      </c>
      <c r="C974" s="8" t="s">
        <v>3696</v>
      </c>
      <c r="D974" s="9" t="s">
        <v>3697</v>
      </c>
      <c r="E974" s="10" t="str">
        <f>HYPERLINK("https://twitter.com/Congreso_Es/status/1071051924445761536","1071051924445761536")</f>
        <v>1071051924445761536</v>
      </c>
      <c r="F974" s="11" t="s">
        <v>3698</v>
      </c>
      <c r="G974" s="11" t="s">
        <v>3699</v>
      </c>
      <c r="H974" s="12"/>
      <c r="I974" s="13">
        <v>5</v>
      </c>
      <c r="J974" s="13">
        <v>4</v>
      </c>
      <c r="K974" s="14" t="str">
        <f t="shared" si="170"/>
        <v>Twitter Web Client</v>
      </c>
      <c r="L974" s="13">
        <v>175695</v>
      </c>
      <c r="M974" s="13">
        <v>877</v>
      </c>
      <c r="N974" s="13">
        <v>1661</v>
      </c>
      <c r="O974" s="18" t="s">
        <v>41</v>
      </c>
      <c r="P974" s="6">
        <v>39966.485127314816</v>
      </c>
      <c r="Q974" s="16" t="s">
        <v>60</v>
      </c>
      <c r="R974" s="17" t="s">
        <v>3700</v>
      </c>
      <c r="S974" s="11" t="s">
        <v>3701</v>
      </c>
      <c r="T974" s="12"/>
      <c r="U974" s="10" t="str">
        <f>HYPERLINK("https://pbs.twimg.com/profile_images/1066988793335554048/y_Xftdee.jpg","View")</f>
        <v>View</v>
      </c>
    </row>
    <row r="975" spans="1:21" ht="30.6">
      <c r="A975" s="6">
        <v>43441.653067129635</v>
      </c>
      <c r="B975" s="7" t="str">
        <f>HYPERLINK("https://twitter.com/linares28","@linares28")</f>
        <v>@linares28</v>
      </c>
      <c r="C975" s="20" t="s">
        <v>3702</v>
      </c>
      <c r="D975" s="9" t="s">
        <v>3703</v>
      </c>
      <c r="E975" s="10" t="str">
        <f>HYPERLINK("https://twitter.com/linares28/status/1071051810255880193","1071051810255880193")</f>
        <v>1071051810255880193</v>
      </c>
      <c r="F975" s="11" t="s">
        <v>3704</v>
      </c>
      <c r="G975" s="12"/>
      <c r="H975" s="12"/>
      <c r="I975" s="13">
        <v>0</v>
      </c>
      <c r="J975" s="13">
        <v>1</v>
      </c>
      <c r="K975" s="14" t="str">
        <f>HYPERLINK("https://ifttt.com","IFTTT")</f>
        <v>IFTTT</v>
      </c>
      <c r="L975" s="13">
        <v>5226</v>
      </c>
      <c r="M975" s="13">
        <v>376</v>
      </c>
      <c r="N975" s="13">
        <v>41</v>
      </c>
      <c r="O975" s="15"/>
      <c r="P975" s="6">
        <v>40522.534131944441</v>
      </c>
      <c r="Q975" s="16" t="s">
        <v>2342</v>
      </c>
      <c r="R975" s="17" t="s">
        <v>3705</v>
      </c>
      <c r="S975" s="11" t="s">
        <v>3706</v>
      </c>
      <c r="T975" s="12"/>
      <c r="U975" s="10" t="str">
        <f>HYPERLINK("https://pbs.twimg.com/profile_images/472467055589851136/VtNjwumr.jpeg","View")</f>
        <v>View</v>
      </c>
    </row>
    <row r="976" spans="1:21" ht="30.6">
      <c r="A976" s="6">
        <v>43441.652777777781</v>
      </c>
      <c r="B976" s="7" t="str">
        <f>HYPERLINK("https://twitter.com/RadioHuancavilk","@RadioHuancavilk")</f>
        <v>@RadioHuancavilk</v>
      </c>
      <c r="C976" s="8" t="s">
        <v>2091</v>
      </c>
      <c r="D976" s="9" t="s">
        <v>2092</v>
      </c>
      <c r="E976" s="10" t="str">
        <f>HYPERLINK("https://twitter.com/RadioHuancavilk/status/1071051705582796800","1071051705582796800")</f>
        <v>1071051705582796800</v>
      </c>
      <c r="F976" s="11" t="s">
        <v>2093</v>
      </c>
      <c r="G976" s="11" t="s">
        <v>3707</v>
      </c>
      <c r="H976" s="12"/>
      <c r="I976" s="13">
        <v>3</v>
      </c>
      <c r="J976" s="13">
        <v>0</v>
      </c>
      <c r="K976" s="14" t="str">
        <f>HYPERLINK("https://about.twitter.com/products/tweetdeck","TweetDeck")</f>
        <v>TweetDeck</v>
      </c>
      <c r="L976" s="13">
        <v>24544</v>
      </c>
      <c r="M976" s="13">
        <v>132</v>
      </c>
      <c r="N976" s="13">
        <v>195</v>
      </c>
      <c r="O976" s="15"/>
      <c r="P976" s="6">
        <v>40735.782557870371</v>
      </c>
      <c r="Q976" s="16" t="s">
        <v>2095</v>
      </c>
      <c r="R976" s="17" t="s">
        <v>2096</v>
      </c>
      <c r="S976" s="11" t="s">
        <v>2097</v>
      </c>
      <c r="T976" s="12"/>
      <c r="U976" s="10" t="str">
        <f>HYPERLINK("https://pbs.twimg.com/profile_images/1018978289006891008/08-mGGQV.jpg","View")</f>
        <v>View</v>
      </c>
    </row>
    <row r="977" spans="1:21" ht="13.2">
      <c r="A977" s="6">
        <v>43441.651747685188</v>
      </c>
      <c r="B977" s="7" t="str">
        <f>HYPERLINK("https://twitter.com/ManuelZahera","@ManuelZahera")</f>
        <v>@ManuelZahera</v>
      </c>
      <c r="C977" s="8" t="s">
        <v>3708</v>
      </c>
      <c r="D977" s="9" t="s">
        <v>1175</v>
      </c>
      <c r="E977" s="10" t="str">
        <f>HYPERLINK("https://twitter.com/ManuelZahera/status/1071051334101684225","1071051334101684225")</f>
        <v>1071051334101684225</v>
      </c>
      <c r="F977" s="11" t="s">
        <v>1176</v>
      </c>
      <c r="G977" s="12"/>
      <c r="H977" s="12"/>
      <c r="I977" s="13">
        <v>0</v>
      </c>
      <c r="J977" s="13">
        <v>0</v>
      </c>
      <c r="K977" s="14" t="str">
        <f>HYPERLINK("http://twitter.com","Twitter Web Client")</f>
        <v>Twitter Web Client</v>
      </c>
      <c r="L977" s="13">
        <v>290</v>
      </c>
      <c r="M977" s="13">
        <v>487</v>
      </c>
      <c r="N977" s="13">
        <v>24</v>
      </c>
      <c r="O977" s="15"/>
      <c r="P977" s="6">
        <v>41608.888124999998</v>
      </c>
      <c r="Q977" s="16" t="s">
        <v>200</v>
      </c>
      <c r="R977" s="17" t="s">
        <v>3709</v>
      </c>
      <c r="S977" s="12"/>
      <c r="T977" s="12"/>
      <c r="U977" s="10" t="str">
        <f>HYPERLINK("https://pbs.twimg.com/profile_images/924690017351499777/edky3ZbB.jpg","View")</f>
        <v>View</v>
      </c>
    </row>
    <row r="978" spans="1:21" ht="20.399999999999999">
      <c r="A978" s="6">
        <v>43441.651296296295</v>
      </c>
      <c r="B978" s="7" t="str">
        <f>HYPERLINK("https://twitter.com/ExIndepe_90","@ExIndepe_90")</f>
        <v>@ExIndepe_90</v>
      </c>
      <c r="C978" s="8" t="s">
        <v>2275</v>
      </c>
      <c r="D978" s="9" t="s">
        <v>3710</v>
      </c>
      <c r="E978" s="10" t="str">
        <f>HYPERLINK("https://twitter.com/ExIndepe_90/status/1071051169638825984","1071051169638825984")</f>
        <v>1071051169638825984</v>
      </c>
      <c r="F978" s="12"/>
      <c r="G978" s="12"/>
      <c r="H978" s="12"/>
      <c r="I978" s="13">
        <v>2</v>
      </c>
      <c r="J978" s="13">
        <v>11</v>
      </c>
      <c r="K978" s="14" t="str">
        <f>HYPERLINK("https://mobile.twitter.com","Twitter Lite")</f>
        <v>Twitter Lite</v>
      </c>
      <c r="L978" s="13">
        <v>4539</v>
      </c>
      <c r="M978" s="13">
        <v>713</v>
      </c>
      <c r="N978" s="13">
        <v>47</v>
      </c>
      <c r="O978" s="15"/>
      <c r="P978" s="6">
        <v>41464.976226851853</v>
      </c>
      <c r="Q978" s="16" t="s">
        <v>2278</v>
      </c>
      <c r="R978" s="17" t="s">
        <v>2279</v>
      </c>
      <c r="S978" s="12"/>
      <c r="T978" s="12"/>
      <c r="U978" s="10" t="str">
        <f>HYPERLINK("https://pbs.twimg.com/profile_images/1070094630086172672/xCIJZX97.jpg","View")</f>
        <v>View</v>
      </c>
    </row>
    <row r="979" spans="1:21" ht="51">
      <c r="A979" s="6">
        <v>43441.65116898148</v>
      </c>
      <c r="B979" s="7" t="str">
        <f>HYPERLINK("https://twitter.com/FELIXMA66782826","@FELIXMA66782826")</f>
        <v>@FELIXMA66782826</v>
      </c>
      <c r="C979" s="8" t="s">
        <v>83</v>
      </c>
      <c r="D979" s="9" t="s">
        <v>3711</v>
      </c>
      <c r="E979" s="10" t="str">
        <f>HYPERLINK("https://twitter.com/FELIXMA66782826/status/1071051123073667073","1071051123073667073")</f>
        <v>1071051123073667073</v>
      </c>
      <c r="F979" s="11" t="s">
        <v>3712</v>
      </c>
      <c r="G979" s="12"/>
      <c r="H979" s="12"/>
      <c r="I979" s="13">
        <v>0</v>
      </c>
      <c r="J979" s="13">
        <v>0</v>
      </c>
      <c r="K979" s="14" t="str">
        <f>HYPERLINK("http://twitter.com/download/android","Twitter for Android")</f>
        <v>Twitter for Android</v>
      </c>
      <c r="L979" s="13">
        <v>130</v>
      </c>
      <c r="M979" s="13">
        <v>434</v>
      </c>
      <c r="N979" s="13">
        <v>0</v>
      </c>
      <c r="O979" s="15"/>
      <c r="P979" s="6">
        <v>43239.908032407402</v>
      </c>
      <c r="Q979" s="16" t="s">
        <v>87</v>
      </c>
      <c r="R979" s="17" t="s">
        <v>88</v>
      </c>
      <c r="S979" s="12"/>
      <c r="T979" s="12"/>
      <c r="U979" s="10" t="str">
        <f>HYPERLINK("https://pbs.twimg.com/profile_images/998112873586069505/YLtC4nWK.jpg","View")</f>
        <v>View</v>
      </c>
    </row>
    <row r="980" spans="1:21" ht="30.6">
      <c r="A980" s="6">
        <v>43441.650358796294</v>
      </c>
      <c r="B980" s="7" t="str">
        <f>HYPERLINK("https://twitter.com/La_Sopa_Digital","@La_Sopa_Digital")</f>
        <v>@La_Sopa_Digital</v>
      </c>
      <c r="C980" s="8" t="s">
        <v>3713</v>
      </c>
      <c r="D980" s="9" t="s">
        <v>714</v>
      </c>
      <c r="E980" s="10" t="str">
        <f>HYPERLINK("https://twitter.com/La_Sopa_Digital/status/1071050830147661824","1071050830147661824")</f>
        <v>1071050830147661824</v>
      </c>
      <c r="F980" s="11" t="s">
        <v>715</v>
      </c>
      <c r="G980" s="11" t="s">
        <v>3714</v>
      </c>
      <c r="H980" s="12"/>
      <c r="I980" s="13">
        <v>0</v>
      </c>
      <c r="J980" s="13">
        <v>0</v>
      </c>
      <c r="K980" s="14" t="str">
        <f>HYPERLINK("http://epmundo.com","Tuiteo TOP EP (3)")</f>
        <v>Tuiteo TOP EP (3)</v>
      </c>
      <c r="L980" s="13">
        <v>69486</v>
      </c>
      <c r="M980" s="13">
        <v>69754</v>
      </c>
      <c r="N980" s="13">
        <v>166</v>
      </c>
      <c r="O980" s="15"/>
      <c r="P980" s="6">
        <v>41499.193749999999</v>
      </c>
      <c r="Q980" s="12"/>
      <c r="R980" s="17" t="s">
        <v>3715</v>
      </c>
      <c r="S980" s="12"/>
      <c r="T980" s="12"/>
      <c r="U980" s="10" t="str">
        <f>HYPERLINK("https://pbs.twimg.com/profile_images/913059846420869120/amCh9oia.jpg","View")</f>
        <v>View</v>
      </c>
    </row>
    <row r="981" spans="1:21" ht="30.6">
      <c r="A981" s="6">
        <v>43441.649340277778</v>
      </c>
      <c r="B981" s="7" t="str">
        <f>HYPERLINK("https://twitter.com/TravelLeon","@TravelLeon")</f>
        <v>@TravelLeon</v>
      </c>
      <c r="C981" s="8" t="s">
        <v>3716</v>
      </c>
      <c r="D981" s="9" t="s">
        <v>2253</v>
      </c>
      <c r="E981" s="10" t="str">
        <f>HYPERLINK("https://twitter.com/TravelLeon/status/1071050460205731840","1071050460205731840")</f>
        <v>1071050460205731840</v>
      </c>
      <c r="F981" s="11" t="s">
        <v>3717</v>
      </c>
      <c r="G981" s="11" t="s">
        <v>3718</v>
      </c>
      <c r="H981" s="12"/>
      <c r="I981" s="13">
        <v>0</v>
      </c>
      <c r="J981" s="13">
        <v>1</v>
      </c>
      <c r="K981" s="14" t="str">
        <f>HYPERLINK("https://dlvrit.com/","dlvr.it")</f>
        <v>dlvr.it</v>
      </c>
      <c r="L981" s="13">
        <v>211</v>
      </c>
      <c r="M981" s="13">
        <v>144</v>
      </c>
      <c r="N981" s="13">
        <v>11</v>
      </c>
      <c r="O981" s="15"/>
      <c r="P981" s="6">
        <v>39829.873287037037</v>
      </c>
      <c r="Q981" s="16" t="s">
        <v>3719</v>
      </c>
      <c r="R981" s="17" t="s">
        <v>3720</v>
      </c>
      <c r="S981" s="11" t="s">
        <v>3722</v>
      </c>
      <c r="T981" s="12"/>
      <c r="U981" s="10" t="str">
        <f>HYPERLINK("https://pbs.twimg.com/profile_images/3619361007/795a456f1b342f1dec83d4750f9f1c6e.jpeg","View")</f>
        <v>View</v>
      </c>
    </row>
    <row r="982" spans="1:21" ht="30.6">
      <c r="A982" s="6">
        <v>43441.649259259255</v>
      </c>
      <c r="B982" s="7" t="str">
        <f>HYPERLINK("https://twitter.com/linares28","@linares28")</f>
        <v>@linares28</v>
      </c>
      <c r="C982" s="20" t="s">
        <v>3702</v>
      </c>
      <c r="D982" s="9" t="s">
        <v>3723</v>
      </c>
      <c r="E982" s="10" t="str">
        <f>HYPERLINK("https://twitter.com/linares28/status/1071050431470714880","1071050431470714880")</f>
        <v>1071050431470714880</v>
      </c>
      <c r="F982" s="11" t="s">
        <v>3725</v>
      </c>
      <c r="G982" s="12"/>
      <c r="H982" s="12"/>
      <c r="I982" s="13">
        <v>1</v>
      </c>
      <c r="J982" s="13">
        <v>0</v>
      </c>
      <c r="K982" s="14" t="str">
        <f>HYPERLINK("https://www.google.com/","Google")</f>
        <v>Google</v>
      </c>
      <c r="L982" s="13">
        <v>5226</v>
      </c>
      <c r="M982" s="13">
        <v>376</v>
      </c>
      <c r="N982" s="13">
        <v>41</v>
      </c>
      <c r="O982" s="15"/>
      <c r="P982" s="6">
        <v>40522.534131944441</v>
      </c>
      <c r="Q982" s="16" t="s">
        <v>2342</v>
      </c>
      <c r="R982" s="17" t="s">
        <v>3705</v>
      </c>
      <c r="S982" s="11" t="s">
        <v>3706</v>
      </c>
      <c r="T982" s="12"/>
      <c r="U982" s="10" t="str">
        <f>HYPERLINK("https://pbs.twimg.com/profile_images/472467055589851136/VtNjwumr.jpeg","View")</f>
        <v>View</v>
      </c>
    </row>
    <row r="983" spans="1:21" ht="40.799999999999997">
      <c r="A983" s="6">
        <v>43441.649224537032</v>
      </c>
      <c r="B983" s="7" t="str">
        <f>HYPERLINK("https://twitter.com/ingenius6","@ingenius6")</f>
        <v>@ingenius6</v>
      </c>
      <c r="C983" s="8" t="s">
        <v>3726</v>
      </c>
      <c r="D983" s="9" t="s">
        <v>2685</v>
      </c>
      <c r="E983" s="10" t="str">
        <f>HYPERLINK("https://twitter.com/ingenius6/status/1071050416350289920","1071050416350289920")</f>
        <v>1071050416350289920</v>
      </c>
      <c r="F983" s="11" t="s">
        <v>3727</v>
      </c>
      <c r="G983" s="12"/>
      <c r="H983" s="12"/>
      <c r="I983" s="13">
        <v>1</v>
      </c>
      <c r="J983" s="13">
        <v>0</v>
      </c>
      <c r="K983" s="14" t="str">
        <f>HYPERLINK("http://www.facebook.com/twitter","Facebook")</f>
        <v>Facebook</v>
      </c>
      <c r="L983" s="13">
        <v>18993</v>
      </c>
      <c r="M983" s="13">
        <v>20808</v>
      </c>
      <c r="N983" s="13">
        <v>172</v>
      </c>
      <c r="O983" s="15"/>
      <c r="P983" s="6">
        <v>40805.938703703701</v>
      </c>
      <c r="Q983" s="16" t="s">
        <v>3728</v>
      </c>
      <c r="R983" s="17" t="s">
        <v>3729</v>
      </c>
      <c r="S983" s="11" t="s">
        <v>3730</v>
      </c>
      <c r="T983" s="12"/>
      <c r="U983" s="10" t="str">
        <f>HYPERLINK("https://pbs.twimg.com/profile_images/1009118694499405827/4_hLyU6A.jpg","View")</f>
        <v>View</v>
      </c>
    </row>
    <row r="984" spans="1:21" ht="20.399999999999999">
      <c r="A984" s="6">
        <v>43441.648611111115</v>
      </c>
      <c r="B984" s="7" t="str">
        <f>HYPERLINK("https://twitter.com/EP_Mundo","@EP_Mundo")</f>
        <v>@EP_Mundo</v>
      </c>
      <c r="C984" s="8" t="s">
        <v>735</v>
      </c>
      <c r="D984" s="9" t="s">
        <v>736</v>
      </c>
      <c r="E984" s="10" t="str">
        <f>HYPERLINK("https://twitter.com/EP_Mundo/status/1071050195318784002","1071050195318784002")</f>
        <v>1071050195318784002</v>
      </c>
      <c r="F984" s="11" t="s">
        <v>737</v>
      </c>
      <c r="G984" s="11" t="s">
        <v>3731</v>
      </c>
      <c r="H984" s="12"/>
      <c r="I984" s="13">
        <v>0</v>
      </c>
      <c r="J984" s="13">
        <v>0</v>
      </c>
      <c r="K984" s="14" t="str">
        <f>HYPERLINK("http://epmundo.com","Tuiteo TOP EP (2)")</f>
        <v>Tuiteo TOP EP (2)</v>
      </c>
      <c r="L984" s="13">
        <v>510220</v>
      </c>
      <c r="M984" s="13">
        <v>301867</v>
      </c>
      <c r="N984" s="13">
        <v>1363</v>
      </c>
      <c r="O984" s="15"/>
      <c r="P984" s="6">
        <v>40203.223078703704</v>
      </c>
      <c r="Q984" s="12"/>
      <c r="R984" s="17" t="s">
        <v>739</v>
      </c>
      <c r="S984" s="11" t="s">
        <v>740</v>
      </c>
      <c r="T984" s="12"/>
      <c r="U984" s="10" t="str">
        <f>HYPERLINK("https://pbs.twimg.com/profile_images/958329583778099200/87-xiuzB.jpg","View")</f>
        <v>View</v>
      </c>
    </row>
    <row r="985" spans="1:21" ht="30.6">
      <c r="A985" s="6">
        <v>43441.646030092597</v>
      </c>
      <c r="B985" s="7" t="str">
        <f>HYPERLINK("https://twitter.com/Giliprogre","@Giliprogre")</f>
        <v>@Giliprogre</v>
      </c>
      <c r="C985" s="8" t="s">
        <v>3732</v>
      </c>
      <c r="D985" s="9" t="s">
        <v>3733</v>
      </c>
      <c r="E985" s="10" t="str">
        <f>HYPERLINK("https://twitter.com/Giliprogre/status/1071049260777525249","1071049260777525249")</f>
        <v>1071049260777525249</v>
      </c>
      <c r="F985" s="12"/>
      <c r="G985" s="11" t="s">
        <v>3734</v>
      </c>
      <c r="H985" s="12"/>
      <c r="I985" s="13">
        <v>33</v>
      </c>
      <c r="J985" s="13">
        <v>46</v>
      </c>
      <c r="K985" s="14" t="str">
        <f>HYPERLINK("http://twitter.com","Twitter Web Client")</f>
        <v>Twitter Web Client</v>
      </c>
      <c r="L985" s="13">
        <v>29862</v>
      </c>
      <c r="M985" s="13">
        <v>2030</v>
      </c>
      <c r="N985" s="13">
        <v>238</v>
      </c>
      <c r="O985" s="15"/>
      <c r="P985" s="6">
        <v>41257.676076388889</v>
      </c>
      <c r="Q985" s="16" t="s">
        <v>60</v>
      </c>
      <c r="R985" s="17" t="s">
        <v>3735</v>
      </c>
      <c r="S985" s="11" t="s">
        <v>3736</v>
      </c>
      <c r="T985" s="12"/>
      <c r="U985" s="10" t="str">
        <f>HYPERLINK("https://pbs.twimg.com/profile_images/969745232484098054/oPBELGbd.jpg","View")</f>
        <v>View</v>
      </c>
    </row>
    <row r="986" spans="1:21" ht="30.6">
      <c r="A986" s="6">
        <v>43441.645833333328</v>
      </c>
      <c r="B986" s="7" t="str">
        <f>HYPERLINK("https://twitter.com/laSextaTV","@laSextaTV")</f>
        <v>@laSextaTV</v>
      </c>
      <c r="C986" s="8" t="s">
        <v>3737</v>
      </c>
      <c r="D986" s="9" t="s">
        <v>3738</v>
      </c>
      <c r="E986" s="10" t="str">
        <f>HYPERLINK("https://twitter.com/laSextaTV/status/1071049189524684802","1071049189524684802")</f>
        <v>1071049189524684802</v>
      </c>
      <c r="F986" s="11" t="s">
        <v>3739</v>
      </c>
      <c r="G986" s="12"/>
      <c r="H986" s="12"/>
      <c r="I986" s="13">
        <v>1</v>
      </c>
      <c r="J986" s="13">
        <v>3</v>
      </c>
      <c r="K986" s="14" t="str">
        <f>HYPERLINK("https://about.twitter.com/products/tweetdeck","TweetDeck")</f>
        <v>TweetDeck</v>
      </c>
      <c r="L986" s="13">
        <v>915225</v>
      </c>
      <c r="M986" s="13">
        <v>307</v>
      </c>
      <c r="N986" s="13">
        <v>5854</v>
      </c>
      <c r="O986" s="18" t="s">
        <v>41</v>
      </c>
      <c r="P986" s="6">
        <v>39877.804710648146</v>
      </c>
      <c r="Q986" s="16" t="s">
        <v>119</v>
      </c>
      <c r="R986" s="17" t="s">
        <v>3740</v>
      </c>
      <c r="S986" s="11" t="s">
        <v>3741</v>
      </c>
      <c r="T986" s="12"/>
      <c r="U986" s="10" t="str">
        <f>HYPERLINK("https://pbs.twimg.com/profile_images/898966361426231296/0sS0RzFh.jpg","View")</f>
        <v>View</v>
      </c>
    </row>
    <row r="987" spans="1:21" ht="40.799999999999997">
      <c r="A987" s="6">
        <v>43441.642326388886</v>
      </c>
      <c r="B987" s="7" t="str">
        <f>HYPERLINK("https://twitter.com/Nelu80914601","@Nelu80914601")</f>
        <v>@Nelu80914601</v>
      </c>
      <c r="C987" s="8" t="s">
        <v>3743</v>
      </c>
      <c r="D987" s="9" t="s">
        <v>3744</v>
      </c>
      <c r="E987" s="10" t="str">
        <f>HYPERLINK("https://twitter.com/Nelu80914601/status/1071047917476159488","1071047917476159488")</f>
        <v>1071047917476159488</v>
      </c>
      <c r="F987" s="11" t="s">
        <v>3745</v>
      </c>
      <c r="G987" s="12"/>
      <c r="H987" s="12"/>
      <c r="I987" s="13">
        <v>0</v>
      </c>
      <c r="J987" s="13">
        <v>1</v>
      </c>
      <c r="K987" s="14" t="str">
        <f>HYPERLINK("http://twitter.com/download/android","Twitter for Android")</f>
        <v>Twitter for Android</v>
      </c>
      <c r="L987" s="13">
        <v>21</v>
      </c>
      <c r="M987" s="13">
        <v>102</v>
      </c>
      <c r="N987" s="13">
        <v>0</v>
      </c>
      <c r="O987" s="15"/>
      <c r="P987" s="6">
        <v>42530.663865740746</v>
      </c>
      <c r="Q987" s="12"/>
      <c r="R987" s="19"/>
      <c r="S987" s="12"/>
      <c r="T987" s="12"/>
      <c r="U987" s="18" t="s">
        <v>67</v>
      </c>
    </row>
    <row r="988" spans="1:21" ht="40.799999999999997">
      <c r="A988" s="6">
        <v>43441.64230324074</v>
      </c>
      <c r="B988" s="7" t="str">
        <f>HYPERLINK("https://twitter.com/dickie825","@dickie825")</f>
        <v>@dickie825</v>
      </c>
      <c r="C988" s="8" t="s">
        <v>2154</v>
      </c>
      <c r="D988" s="9" t="s">
        <v>2155</v>
      </c>
      <c r="E988" s="10" t="str">
        <f>HYPERLINK("https://twitter.com/dickie825/status/1071047908248580096","1071047908248580096")</f>
        <v>1071047908248580096</v>
      </c>
      <c r="F988" s="11" t="s">
        <v>3748</v>
      </c>
      <c r="G988" s="11" t="s">
        <v>3749</v>
      </c>
      <c r="H988" s="12"/>
      <c r="I988" s="13">
        <v>2</v>
      </c>
      <c r="J988" s="13">
        <v>0</v>
      </c>
      <c r="K988" s="14" t="str">
        <f>HYPERLINK("https://dlvrit.com/","dlvr.it")</f>
        <v>dlvr.it</v>
      </c>
      <c r="L988" s="13">
        <v>3495</v>
      </c>
      <c r="M988" s="13">
        <v>2408</v>
      </c>
      <c r="N988" s="13">
        <v>23</v>
      </c>
      <c r="O988" s="15"/>
      <c r="P988" s="6">
        <v>41702.926354166666</v>
      </c>
      <c r="Q988" s="16" t="s">
        <v>2158</v>
      </c>
      <c r="R988" s="17" t="s">
        <v>2159</v>
      </c>
      <c r="S988" s="11" t="s">
        <v>2160</v>
      </c>
      <c r="T988" s="12"/>
      <c r="U988" s="10" t="str">
        <f>HYPERLINK("https://pbs.twimg.com/profile_images/462982799574581250/pOhVVnh8.png","View")</f>
        <v>View</v>
      </c>
    </row>
    <row r="989" spans="1:21" ht="102">
      <c r="A989" s="6">
        <v>43441.642210648148</v>
      </c>
      <c r="B989" s="7" t="str">
        <f>HYPERLINK("https://twitter.com/MACMENRI","@MACMENRI")</f>
        <v>@MACMENRI</v>
      </c>
      <c r="C989" s="8" t="s">
        <v>3750</v>
      </c>
      <c r="D989" s="9" t="s">
        <v>3751</v>
      </c>
      <c r="E989" s="10" t="str">
        <f>HYPERLINK("https://twitter.com/MACMENRI/status/1071047874803363840","1071047874803363840")</f>
        <v>1071047874803363840</v>
      </c>
      <c r="F989" s="11" t="s">
        <v>2865</v>
      </c>
      <c r="G989" s="11" t="s">
        <v>2866</v>
      </c>
      <c r="H989" s="12"/>
      <c r="I989" s="13">
        <v>0</v>
      </c>
      <c r="J989" s="13">
        <v>0</v>
      </c>
      <c r="K989" s="14" t="str">
        <f>HYPERLINK("http://twitter.com","Twitter Web Client")</f>
        <v>Twitter Web Client</v>
      </c>
      <c r="L989" s="13">
        <v>125</v>
      </c>
      <c r="M989" s="13">
        <v>357</v>
      </c>
      <c r="N989" s="13">
        <v>0</v>
      </c>
      <c r="O989" s="15"/>
      <c r="P989" s="6">
        <v>40474.820011574076</v>
      </c>
      <c r="Q989" s="16" t="s">
        <v>3464</v>
      </c>
      <c r="R989" s="17" t="s">
        <v>3752</v>
      </c>
      <c r="S989" s="12"/>
      <c r="T989" s="12"/>
      <c r="U989" s="10" t="str">
        <f>HYPERLINK("https://pbs.twimg.com/profile_images/811770471402315776/zS2NZa1H.jpg","View")</f>
        <v>View</v>
      </c>
    </row>
    <row r="990" spans="1:21" ht="40.799999999999997">
      <c r="A990" s="6">
        <v>43441.640069444446</v>
      </c>
      <c r="B990" s="7" t="str">
        <f>HYPERLINK("https://twitter.com/norcatalan","@norcatalan")</f>
        <v>@norcatalan</v>
      </c>
      <c r="C990" s="8" t="s">
        <v>2916</v>
      </c>
      <c r="D990" s="9" t="s">
        <v>3753</v>
      </c>
      <c r="E990" s="10" t="str">
        <f>HYPERLINK("https://twitter.com/norcatalan/status/1071047102183149568","1071047102183149568")</f>
        <v>1071047102183149568</v>
      </c>
      <c r="F990" s="12"/>
      <c r="G990" s="12"/>
      <c r="H990" s="12"/>
      <c r="I990" s="13">
        <v>58</v>
      </c>
      <c r="J990" s="13">
        <v>167</v>
      </c>
      <c r="K990" s="14" t="str">
        <f>HYPERLINK("https://about.twitter.com/products/tweetdeck","TweetDeck")</f>
        <v>TweetDeck</v>
      </c>
      <c r="L990" s="13">
        <v>13613</v>
      </c>
      <c r="M990" s="13">
        <v>29</v>
      </c>
      <c r="N990" s="13">
        <v>46</v>
      </c>
      <c r="O990" s="15"/>
      <c r="P990" s="6">
        <v>43032.844004629631</v>
      </c>
      <c r="Q990" s="16" t="s">
        <v>2918</v>
      </c>
      <c r="R990" s="17" t="s">
        <v>2919</v>
      </c>
      <c r="S990" s="11" t="s">
        <v>2920</v>
      </c>
      <c r="T990" s="12"/>
      <c r="U990" s="10" t="str">
        <f>HYPERLINK("https://pbs.twimg.com/profile_images/922896848737665024/2txos7aK.jpg","View")</f>
        <v>View</v>
      </c>
    </row>
    <row r="991" spans="1:21" ht="20.399999999999999">
      <c r="A991" s="6">
        <v>43441.639826388884</v>
      </c>
      <c r="B991" s="7" t="str">
        <f>HYPERLINK("https://twitter.com/cordobatimes","@cordobatimes")</f>
        <v>@cordobatimes</v>
      </c>
      <c r="C991" s="8" t="s">
        <v>1719</v>
      </c>
      <c r="D991" s="9" t="s">
        <v>3754</v>
      </c>
      <c r="E991" s="10" t="str">
        <f>HYPERLINK("https://twitter.com/cordobatimes/status/1071047010621497350","1071047010621497350")</f>
        <v>1071047010621497350</v>
      </c>
      <c r="F991" s="11" t="s">
        <v>3755</v>
      </c>
      <c r="G991" s="12"/>
      <c r="H991" s="12"/>
      <c r="I991" s="13">
        <v>0</v>
      </c>
      <c r="J991" s="13">
        <v>0</v>
      </c>
      <c r="K991" s="14" t="str">
        <f>HYPERLINK("http://twitter.com","Twitter Web Client")</f>
        <v>Twitter Web Client</v>
      </c>
      <c r="L991" s="13">
        <v>4573</v>
      </c>
      <c r="M991" s="13">
        <v>3841</v>
      </c>
      <c r="N991" s="13">
        <v>78</v>
      </c>
      <c r="O991" s="15"/>
      <c r="P991" s="6">
        <v>41417.762326388889</v>
      </c>
      <c r="Q991" s="16" t="s">
        <v>1721</v>
      </c>
      <c r="R991" s="17" t="s">
        <v>1722</v>
      </c>
      <c r="S991" s="11" t="s">
        <v>1723</v>
      </c>
      <c r="T991" s="12"/>
      <c r="U991" s="10" t="str">
        <f>HYPERLINK("https://pbs.twimg.com/profile_images/958360938482151425/oceIPAOc.jpg","View")</f>
        <v>View</v>
      </c>
    </row>
    <row r="992" spans="1:21" ht="71.400000000000006">
      <c r="A992" s="6">
        <v>43441.639675925922</v>
      </c>
      <c r="B992" s="7" t="str">
        <f>HYPERLINK("https://twitter.com/kinomunoz","@kinomunoz")</f>
        <v>@kinomunoz</v>
      </c>
      <c r="C992" s="8" t="s">
        <v>3756</v>
      </c>
      <c r="D992" s="9" t="s">
        <v>3757</v>
      </c>
      <c r="E992" s="10" t="str">
        <f>HYPERLINK("https://twitter.com/kinomunoz/status/1071046958062686209","1071046958062686209")</f>
        <v>1071046958062686209</v>
      </c>
      <c r="F992" s="11" t="s">
        <v>3758</v>
      </c>
      <c r="G992" s="11" t="s">
        <v>3759</v>
      </c>
      <c r="H992" s="12"/>
      <c r="I992" s="13">
        <v>1</v>
      </c>
      <c r="J992" s="13">
        <v>2</v>
      </c>
      <c r="K992" s="14" t="str">
        <f>HYPERLINK("http://twitter.com/download/iphone","Twitter for iPhone")</f>
        <v>Twitter for iPhone</v>
      </c>
      <c r="L992" s="13">
        <v>950</v>
      </c>
      <c r="M992" s="13">
        <v>670</v>
      </c>
      <c r="N992" s="13">
        <v>17</v>
      </c>
      <c r="O992" s="15"/>
      <c r="P992" s="6">
        <v>40139.468865740739</v>
      </c>
      <c r="Q992" s="16" t="s">
        <v>3760</v>
      </c>
      <c r="R992" s="17" t="s">
        <v>3761</v>
      </c>
      <c r="S992" s="12"/>
      <c r="T992" s="12"/>
      <c r="U992" s="10" t="str">
        <f>HYPERLINK("https://pbs.twimg.com/profile_images/1049602469624508416/pKOXx6I8.jpg","View")</f>
        <v>View</v>
      </c>
    </row>
    <row r="993" spans="1:21" ht="30.6">
      <c r="A993" s="6">
        <v>43441.638194444444</v>
      </c>
      <c r="B993" s="7" t="str">
        <f>HYPERLINK("https://twitter.com/ecorbella","@ecorbella")</f>
        <v>@ecorbella</v>
      </c>
      <c r="C993" s="8" t="s">
        <v>3762</v>
      </c>
      <c r="D993" s="9" t="s">
        <v>3763</v>
      </c>
      <c r="E993" s="10" t="str">
        <f>HYPERLINK("https://twitter.com/ecorbella/status/1071046422710153216","1071046422710153216")</f>
        <v>1071046422710153216</v>
      </c>
      <c r="F993" s="11" t="s">
        <v>3764</v>
      </c>
      <c r="G993" s="11" t="s">
        <v>3766</v>
      </c>
      <c r="H993" s="12"/>
      <c r="I993" s="13">
        <v>5</v>
      </c>
      <c r="J993" s="13">
        <v>3</v>
      </c>
      <c r="K993" s="14" t="str">
        <f t="shared" ref="K993:K995" si="171">HYPERLINK("http://twitter.com/download/android","Twitter for Android")</f>
        <v>Twitter for Android</v>
      </c>
      <c r="L993" s="13">
        <v>7987</v>
      </c>
      <c r="M993" s="13">
        <v>941</v>
      </c>
      <c r="N993" s="13">
        <v>312</v>
      </c>
      <c r="O993" s="15"/>
      <c r="P993" s="6">
        <v>40246.497673611113</v>
      </c>
      <c r="Q993" s="16" t="s">
        <v>3767</v>
      </c>
      <c r="R993" s="17" t="s">
        <v>3768</v>
      </c>
      <c r="S993" s="11" t="s">
        <v>3769</v>
      </c>
      <c r="T993" s="12"/>
      <c r="U993" s="10" t="str">
        <f>HYPERLINK("https://pbs.twimg.com/profile_images/556186314585174016/H2MpTCpb.jpeg","View")</f>
        <v>View</v>
      </c>
    </row>
    <row r="994" spans="1:21" ht="61.2">
      <c r="A994" s="6">
        <v>43441.636759259258</v>
      </c>
      <c r="B994" s="7" t="str">
        <f>HYPERLINK("https://twitter.com/PepitaMenaMart1","@PepitaMenaMart1")</f>
        <v>@PepitaMenaMart1</v>
      </c>
      <c r="C994" s="8" t="s">
        <v>2188</v>
      </c>
      <c r="D994" s="9" t="s">
        <v>3770</v>
      </c>
      <c r="E994" s="10" t="str">
        <f>HYPERLINK("https://twitter.com/PepitaMenaMart1/status/1071045901601378305","1071045901601378305")</f>
        <v>1071045901601378305</v>
      </c>
      <c r="F994" s="11" t="s">
        <v>3771</v>
      </c>
      <c r="G994" s="11" t="s">
        <v>3772</v>
      </c>
      <c r="H994" s="12"/>
      <c r="I994" s="13">
        <v>0</v>
      </c>
      <c r="J994" s="13">
        <v>0</v>
      </c>
      <c r="K994" s="14" t="str">
        <f t="shared" si="171"/>
        <v>Twitter for Android</v>
      </c>
      <c r="L994" s="13">
        <v>437</v>
      </c>
      <c r="M994" s="13">
        <v>350</v>
      </c>
      <c r="N994" s="13">
        <v>1</v>
      </c>
      <c r="O994" s="15"/>
      <c r="P994" s="6">
        <v>43124.888506944444</v>
      </c>
      <c r="Q994" s="16" t="s">
        <v>2190</v>
      </c>
      <c r="R994" s="17" t="s">
        <v>2191</v>
      </c>
      <c r="S994" s="12"/>
      <c r="T994" s="12"/>
      <c r="U994" s="10" t="str">
        <f>HYPERLINK("https://pbs.twimg.com/profile_images/1053410905311064064/xChXdA8v.jpg","View")</f>
        <v>View</v>
      </c>
    </row>
    <row r="995" spans="1:21" ht="81.599999999999994">
      <c r="A995" s="6">
        <v>43441.636516203704</v>
      </c>
      <c r="B995" s="7" t="str">
        <f>HYPERLINK("https://twitter.com/Juliett75057588","@Juliett75057588")</f>
        <v>@Juliett75057588</v>
      </c>
      <c r="C995" s="8" t="s">
        <v>3773</v>
      </c>
      <c r="D995" s="9" t="s">
        <v>3774</v>
      </c>
      <c r="E995" s="10" t="str">
        <f>HYPERLINK("https://twitter.com/Juliett75057588/status/1071045814083047424","1071045814083047424")</f>
        <v>1071045814083047424</v>
      </c>
      <c r="F995" s="16" t="s">
        <v>3775</v>
      </c>
      <c r="G995" s="12"/>
      <c r="H995" s="12"/>
      <c r="I995" s="13">
        <v>0</v>
      </c>
      <c r="J995" s="13">
        <v>1</v>
      </c>
      <c r="K995" s="14" t="str">
        <f t="shared" si="171"/>
        <v>Twitter for Android</v>
      </c>
      <c r="L995" s="13">
        <v>13</v>
      </c>
      <c r="M995" s="13">
        <v>23</v>
      </c>
      <c r="N995" s="13">
        <v>0</v>
      </c>
      <c r="O995" s="15"/>
      <c r="P995" s="6">
        <v>43336.458668981482</v>
      </c>
      <c r="Q995" s="16" t="s">
        <v>153</v>
      </c>
      <c r="R995" s="17" t="s">
        <v>3776</v>
      </c>
      <c r="S995" s="12"/>
      <c r="T995" s="12"/>
      <c r="U995" s="18" t="s">
        <v>67</v>
      </c>
    </row>
    <row r="996" spans="1:21" ht="30.6">
      <c r="A996" s="6">
        <v>43441.636493055557</v>
      </c>
      <c r="B996" s="7" t="str">
        <f>HYPERLINK("https://twitter.com/CarmenDeLunes","@CarmenDeLunes")</f>
        <v>@CarmenDeLunes</v>
      </c>
      <c r="C996" s="8" t="s">
        <v>3777</v>
      </c>
      <c r="D996" s="9" t="s">
        <v>3778</v>
      </c>
      <c r="E996" s="10" t="str">
        <f>HYPERLINK("https://twitter.com/CarmenDeLunes/status/1071045802360008704","1071045802360008704")</f>
        <v>1071045802360008704</v>
      </c>
      <c r="F996" s="12"/>
      <c r="G996" s="12"/>
      <c r="H996" s="12"/>
      <c r="I996" s="13">
        <v>0</v>
      </c>
      <c r="J996" s="13">
        <v>2</v>
      </c>
      <c r="K996" s="14" t="str">
        <f>HYPERLINK("http://twitter.com/download/iphone","Twitter for iPhone")</f>
        <v>Twitter for iPhone</v>
      </c>
      <c r="L996" s="13">
        <v>3219</v>
      </c>
      <c r="M996" s="13">
        <v>892</v>
      </c>
      <c r="N996" s="13">
        <v>25</v>
      </c>
      <c r="O996" s="15"/>
      <c r="P996" s="6">
        <v>40856.541550925926</v>
      </c>
      <c r="Q996" s="16" t="s">
        <v>3779</v>
      </c>
      <c r="R996" s="17" t="s">
        <v>3780</v>
      </c>
      <c r="S996" s="12"/>
      <c r="T996" s="12"/>
      <c r="U996" s="10" t="str">
        <f>HYPERLINK("https://pbs.twimg.com/profile_images/1069261831594799105/PyrtbgRZ.jpg","View")</f>
        <v>View</v>
      </c>
    </row>
    <row r="997" spans="1:21" ht="51">
      <c r="A997" s="6">
        <v>43441.63559027778</v>
      </c>
      <c r="B997" s="7" t="str">
        <f>HYPERLINK("https://twitter.com/ElQuincenal","@ElQuincenal")</f>
        <v>@ElQuincenal</v>
      </c>
      <c r="C997" s="8" t="s">
        <v>3781</v>
      </c>
      <c r="D997" s="9" t="s">
        <v>3782</v>
      </c>
      <c r="E997" s="10" t="str">
        <f>HYPERLINK("https://twitter.com/ElQuincenal/status/1071045476559011840","1071045476559011840")</f>
        <v>1071045476559011840</v>
      </c>
      <c r="F997" s="11" t="s">
        <v>3783</v>
      </c>
      <c r="G997" s="12"/>
      <c r="H997" s="12"/>
      <c r="I997" s="13">
        <v>1</v>
      </c>
      <c r="J997" s="13">
        <v>0</v>
      </c>
      <c r="K997" s="14" t="str">
        <f>HYPERLINK("http://twitter.com","Twitter Web Client")</f>
        <v>Twitter Web Client</v>
      </c>
      <c r="L997" s="13">
        <v>6457</v>
      </c>
      <c r="M997" s="13">
        <v>265</v>
      </c>
      <c r="N997" s="13">
        <v>39</v>
      </c>
      <c r="O997" s="15"/>
      <c r="P997" s="6">
        <v>40880.496238425927</v>
      </c>
      <c r="Q997" s="16" t="s">
        <v>3784</v>
      </c>
      <c r="R997" s="17" t="s">
        <v>3785</v>
      </c>
      <c r="S997" s="11" t="s">
        <v>3786</v>
      </c>
      <c r="T997" s="12"/>
      <c r="U997" s="10" t="str">
        <f>HYPERLINK("https://pbs.twimg.com/profile_images/700396855247638529/cA7Oaeaz.jpg","View")</f>
        <v>View</v>
      </c>
    </row>
    <row r="998" spans="1:21" ht="40.799999999999997">
      <c r="A998" s="6">
        <v>43441.635416666672</v>
      </c>
      <c r="B998" s="7" t="str">
        <f>HYPERLINK("https://twitter.com/abc_es","@abc_es")</f>
        <v>@abc_es</v>
      </c>
      <c r="C998" s="20" t="s">
        <v>375</v>
      </c>
      <c r="D998" s="9" t="s">
        <v>2092</v>
      </c>
      <c r="E998" s="10" t="str">
        <f>HYPERLINK("https://twitter.com/abc_es/status/1071045416211365889","1071045416211365889")</f>
        <v>1071045416211365889</v>
      </c>
      <c r="F998" s="11" t="s">
        <v>3787</v>
      </c>
      <c r="G998" s="12"/>
      <c r="H998" s="12"/>
      <c r="I998" s="13">
        <v>27</v>
      </c>
      <c r="J998" s="13">
        <v>31</v>
      </c>
      <c r="K998" s="14" t="str">
        <f>HYPERLINK("https://dogtrack.es","DogTrack ABC")</f>
        <v>DogTrack ABC</v>
      </c>
      <c r="L998" s="13">
        <v>1610206</v>
      </c>
      <c r="M998" s="13">
        <v>15511</v>
      </c>
      <c r="N998" s="13">
        <v>17149</v>
      </c>
      <c r="O998" s="18" t="s">
        <v>41</v>
      </c>
      <c r="P998" s="6">
        <v>39846.840682870374</v>
      </c>
      <c r="Q998" s="16" t="s">
        <v>60</v>
      </c>
      <c r="R998" s="17" t="s">
        <v>377</v>
      </c>
      <c r="S998" s="11" t="s">
        <v>241</v>
      </c>
      <c r="T998" s="12"/>
      <c r="U998" s="10" t="str">
        <f>HYPERLINK("https://pbs.twimg.com/profile_images/1053638435309842432/s75OnwdY.jpg","View")</f>
        <v>View</v>
      </c>
    </row>
    <row r="999" spans="1:21" ht="20.399999999999999">
      <c r="A999" s="6">
        <v>43441.635416666672</v>
      </c>
      <c r="B999" s="7" t="str">
        <f>HYPERLINK("https://twitter.com/sextaNoticias","@sextaNoticias")</f>
        <v>@sextaNoticias</v>
      </c>
      <c r="C999" s="8" t="s">
        <v>3791</v>
      </c>
      <c r="D999" s="9" t="s">
        <v>3792</v>
      </c>
      <c r="E999" s="10" t="str">
        <f>HYPERLINK("https://twitter.com/sextaNoticias/status/1071045414156152833","1071045414156152833")</f>
        <v>1071045414156152833</v>
      </c>
      <c r="F999" s="11" t="s">
        <v>3739</v>
      </c>
      <c r="G999" s="12"/>
      <c r="H999" s="12"/>
      <c r="I999" s="13">
        <v>2</v>
      </c>
      <c r="J999" s="13">
        <v>5</v>
      </c>
      <c r="K999" s="14" t="str">
        <f>HYPERLINK("https://about.twitter.com/products/tweetdeck","TweetDeck")</f>
        <v>TweetDeck</v>
      </c>
      <c r="L999" s="13">
        <v>1112667</v>
      </c>
      <c r="M999" s="13">
        <v>279</v>
      </c>
      <c r="N999" s="13">
        <v>7291</v>
      </c>
      <c r="O999" s="18" t="s">
        <v>41</v>
      </c>
      <c r="P999" s="6">
        <v>40099.614328703705</v>
      </c>
      <c r="Q999" s="12"/>
      <c r="R999" s="17" t="s">
        <v>3793</v>
      </c>
      <c r="S999" s="11" t="s">
        <v>3794</v>
      </c>
      <c r="T999" s="12"/>
      <c r="U999" s="10" t="str">
        <f>HYPERLINK("https://pbs.twimg.com/profile_images/898970208551022592/hh3ITSK-.jpg","View")</f>
        <v>View</v>
      </c>
    </row>
    <row r="1000" spans="1:21" ht="20.399999999999999">
      <c r="A1000" s="6">
        <v>43441.635312500002</v>
      </c>
      <c r="B1000" s="7" t="str">
        <f>HYPERLINK("https://twitter.com/NoticieroUniv","@NoticieroUniv")</f>
        <v>@NoticieroUniv</v>
      </c>
      <c r="C1000" s="8" t="s">
        <v>3128</v>
      </c>
      <c r="D1000" s="9" t="s">
        <v>3795</v>
      </c>
      <c r="E1000" s="10" t="str">
        <f>HYPERLINK("https://twitter.com/NoticieroUniv/status/1071045377216925697","1071045377216925697")</f>
        <v>1071045377216925697</v>
      </c>
      <c r="F1000" s="11" t="s">
        <v>3796</v>
      </c>
      <c r="G1000" s="12"/>
      <c r="H1000" s="12"/>
      <c r="I1000" s="13">
        <v>0</v>
      </c>
      <c r="J1000" s="13">
        <v>0</v>
      </c>
      <c r="K1000" s="14" t="str">
        <f>HYPERLINK("https://noticierouniversal.com/","NoticieroUniversal")</f>
        <v>NoticieroUniversal</v>
      </c>
      <c r="L1000" s="13">
        <v>836</v>
      </c>
      <c r="M1000" s="13">
        <v>36</v>
      </c>
      <c r="N1000" s="13">
        <v>21</v>
      </c>
      <c r="O1000" s="15"/>
      <c r="P1000" s="6">
        <v>42402.547939814816</v>
      </c>
      <c r="Q1000" s="16" t="s">
        <v>87</v>
      </c>
      <c r="R1000" s="17" t="s">
        <v>3131</v>
      </c>
      <c r="S1000" s="11" t="s">
        <v>3132</v>
      </c>
      <c r="T1000" s="12"/>
      <c r="U1000" s="10" t="str">
        <f>HYPERLINK("https://pbs.twimg.com/profile_images/719648419925594113/OnR0XNMn.jpg","View")</f>
        <v>View</v>
      </c>
    </row>
    <row r="1001" spans="1:21" ht="30.6">
      <c r="A1001" s="6">
        <v>43441.635150462964</v>
      </c>
      <c r="B1001" s="7" t="str">
        <f>HYPERLINK("https://twitter.com/Eurosport_ES","@Eurosport_ES")</f>
        <v>@Eurosport_ES</v>
      </c>
      <c r="C1001" s="20" t="s">
        <v>3797</v>
      </c>
      <c r="D1001" s="9" t="s">
        <v>3798</v>
      </c>
      <c r="E1001" s="10" t="str">
        <f>HYPERLINK("https://twitter.com/Eurosport_ES/status/1071045317741576194","1071045317741576194")</f>
        <v>1071045317741576194</v>
      </c>
      <c r="F1001" s="11" t="s">
        <v>3799</v>
      </c>
      <c r="G1001" s="12"/>
      <c r="H1001" s="12"/>
      <c r="I1001" s="13">
        <v>1</v>
      </c>
      <c r="J1001" s="13">
        <v>3</v>
      </c>
      <c r="K1001" s="14" t="str">
        <f>HYPERLINK("http://www.socialbakers.com/","Socialbakers")</f>
        <v>Socialbakers</v>
      </c>
      <c r="L1001" s="13">
        <v>84653</v>
      </c>
      <c r="M1001" s="13">
        <v>1016</v>
      </c>
      <c r="N1001" s="13">
        <v>1157</v>
      </c>
      <c r="O1001" s="18" t="s">
        <v>41</v>
      </c>
      <c r="P1001" s="6">
        <v>39875.614965277782</v>
      </c>
      <c r="Q1001" s="16" t="s">
        <v>200</v>
      </c>
      <c r="R1001" s="17" t="s">
        <v>3800</v>
      </c>
      <c r="S1001" s="11" t="s">
        <v>3801</v>
      </c>
      <c r="T1001" s="12"/>
      <c r="U1001" s="10" t="str">
        <f>HYPERLINK("https://pbs.twimg.com/profile_images/819955367237058560/7qKrc9Sn.jpg","View")</f>
        <v>View</v>
      </c>
    </row>
    <row r="1002" spans="1:21" ht="112.2">
      <c r="A1002" s="6">
        <v>43441.63444444444</v>
      </c>
      <c r="B1002" s="7" t="str">
        <f>HYPERLINK("https://twitter.com/JoselillConan","@JoselillConan")</f>
        <v>@JoselillConan</v>
      </c>
      <c r="C1002" s="8" t="s">
        <v>3802</v>
      </c>
      <c r="D1002" s="9" t="s">
        <v>3803</v>
      </c>
      <c r="E1002" s="10" t="str">
        <f>HYPERLINK("https://twitter.com/JoselillConan/status/1071045061356544002","1071045061356544002")</f>
        <v>1071045061356544002</v>
      </c>
      <c r="F1002" s="11" t="s">
        <v>3804</v>
      </c>
      <c r="G1002" s="12"/>
      <c r="H1002" s="12"/>
      <c r="I1002" s="13">
        <v>1</v>
      </c>
      <c r="J1002" s="13">
        <v>0</v>
      </c>
      <c r="K1002" s="14" t="str">
        <f>HYPERLINK("http://twitter.com/download/android","Twitter for Android")</f>
        <v>Twitter for Android</v>
      </c>
      <c r="L1002" s="13">
        <v>140</v>
      </c>
      <c r="M1002" s="13">
        <v>199</v>
      </c>
      <c r="N1002" s="13">
        <v>1</v>
      </c>
      <c r="O1002" s="15"/>
      <c r="P1002" s="6">
        <v>41556.810208333336</v>
      </c>
      <c r="Q1002" s="12"/>
      <c r="R1002" s="19"/>
      <c r="S1002" s="12"/>
      <c r="T1002" s="12"/>
      <c r="U1002" s="10" t="str">
        <f>HYPERLINK("https://pbs.twimg.com/profile_images/798249620967215104/NWyjEj5O.jpg","View")</f>
        <v>View</v>
      </c>
    </row>
    <row r="1003" spans="1:21" ht="20.399999999999999">
      <c r="A1003" s="6">
        <v>43441.63349537037</v>
      </c>
      <c r="B1003" s="7" t="str">
        <f>HYPERLINK("https://twitter.com/kfedigitalweb","@kfedigitalweb")</f>
        <v>@kfedigitalweb</v>
      </c>
      <c r="C1003" s="8" t="s">
        <v>3805</v>
      </c>
      <c r="D1003" s="9" t="s">
        <v>1308</v>
      </c>
      <c r="E1003" s="10" t="str">
        <f>HYPERLINK("https://twitter.com/kfedigitalweb/status/1071044717234802688","1071044717234802688")</f>
        <v>1071044717234802688</v>
      </c>
      <c r="F1003" s="11" t="s">
        <v>3806</v>
      </c>
      <c r="G1003" s="11" t="s">
        <v>3807</v>
      </c>
      <c r="H1003" s="12"/>
      <c r="I1003" s="13">
        <v>0</v>
      </c>
      <c r="J1003" s="13">
        <v>0</v>
      </c>
      <c r="K1003" s="14" t="str">
        <f>HYPERLINK("http://publicize.wp.com/","WordPress.com")</f>
        <v>WordPress.com</v>
      </c>
      <c r="L1003" s="13">
        <v>16</v>
      </c>
      <c r="M1003" s="13">
        <v>16</v>
      </c>
      <c r="N1003" s="13">
        <v>1</v>
      </c>
      <c r="O1003" s="15"/>
      <c r="P1003" s="6">
        <v>43265.864247685182</v>
      </c>
      <c r="Q1003" s="16" t="s">
        <v>871</v>
      </c>
      <c r="R1003" s="17" t="s">
        <v>3808</v>
      </c>
      <c r="S1003" s="11" t="s">
        <v>3809</v>
      </c>
      <c r="T1003" s="12"/>
      <c r="U1003" s="10" t="str">
        <f>HYPERLINK("https://pbs.twimg.com/profile_images/1061557274995499013/UiJUaeTo.jpg","View")</f>
        <v>View</v>
      </c>
    </row>
    <row r="1004" spans="1:21" ht="51">
      <c r="A1004" s="6">
        <v>43441.633425925931</v>
      </c>
      <c r="B1004" s="7" t="str">
        <f>HYPERLINK("https://twitter.com/europapress","@europapress")</f>
        <v>@europapress</v>
      </c>
      <c r="C1004" s="8" t="s">
        <v>2062</v>
      </c>
      <c r="D1004" s="9" t="s">
        <v>3810</v>
      </c>
      <c r="E1004" s="10" t="str">
        <f>HYPERLINK("https://twitter.com/europapress/status/1071044692614279175","1071044692614279175")</f>
        <v>1071044692614279175</v>
      </c>
      <c r="F1004" s="11" t="s">
        <v>3031</v>
      </c>
      <c r="G1004" s="12"/>
      <c r="H1004" s="12"/>
      <c r="I1004" s="13">
        <v>20</v>
      </c>
      <c r="J1004" s="13">
        <v>36</v>
      </c>
      <c r="K1004" s="14" t="str">
        <f t="shared" ref="K1004:K1005" si="172">HYPERLINK("https://about.twitter.com/products/tweetdeck","TweetDeck")</f>
        <v>TweetDeck</v>
      </c>
      <c r="L1004" s="13">
        <v>1100739</v>
      </c>
      <c r="M1004" s="13">
        <v>1101</v>
      </c>
      <c r="N1004" s="13">
        <v>13754</v>
      </c>
      <c r="O1004" s="18" t="s">
        <v>41</v>
      </c>
      <c r="P1004" s="6">
        <v>40246.461956018517</v>
      </c>
      <c r="Q1004" s="12"/>
      <c r="R1004" s="17" t="s">
        <v>2065</v>
      </c>
      <c r="S1004" s="11" t="s">
        <v>2066</v>
      </c>
      <c r="T1004" s="12"/>
      <c r="U1004" s="10" t="str">
        <f>HYPERLINK("https://pbs.twimg.com/profile_images/876740155473788928/4V7ewUTC.jpg","View")</f>
        <v>View</v>
      </c>
    </row>
    <row r="1005" spans="1:21" ht="30.6">
      <c r="A1005" s="6">
        <v>43441.633009259254</v>
      </c>
      <c r="B1005" s="7" t="str">
        <f>HYPERLINK("https://twitter.com/RadioHuancavilk","@RadioHuancavilk")</f>
        <v>@RadioHuancavilk</v>
      </c>
      <c r="C1005" s="8" t="s">
        <v>2091</v>
      </c>
      <c r="D1005" s="9" t="s">
        <v>2092</v>
      </c>
      <c r="E1005" s="10" t="str">
        <f>HYPERLINK("https://twitter.com/RadioHuancavilk/status/1071044539991908353","1071044539991908353")</f>
        <v>1071044539991908353</v>
      </c>
      <c r="F1005" s="11" t="s">
        <v>2093</v>
      </c>
      <c r="G1005" s="11" t="s">
        <v>3811</v>
      </c>
      <c r="H1005" s="12"/>
      <c r="I1005" s="13">
        <v>2</v>
      </c>
      <c r="J1005" s="13">
        <v>1</v>
      </c>
      <c r="K1005" s="14" t="str">
        <f t="shared" si="172"/>
        <v>TweetDeck</v>
      </c>
      <c r="L1005" s="13">
        <v>24544</v>
      </c>
      <c r="M1005" s="13">
        <v>132</v>
      </c>
      <c r="N1005" s="13">
        <v>195</v>
      </c>
      <c r="O1005" s="15"/>
      <c r="P1005" s="6">
        <v>40735.782557870371</v>
      </c>
      <c r="Q1005" s="16" t="s">
        <v>2095</v>
      </c>
      <c r="R1005" s="17" t="s">
        <v>2096</v>
      </c>
      <c r="S1005" s="11" t="s">
        <v>2097</v>
      </c>
      <c r="T1005" s="12"/>
      <c r="U1005" s="10" t="str">
        <f>HYPERLINK("https://pbs.twimg.com/profile_images/1018978289006891008/08-mGGQV.jpg","View")</f>
        <v>View</v>
      </c>
    </row>
    <row r="1006" spans="1:21" ht="20.399999999999999">
      <c r="A1006" s="6">
        <v>43441.630925925929</v>
      </c>
      <c r="B1006" s="7" t="str">
        <f>HYPERLINK("https://twitter.com/Jccookingsolom1","@Jccookingsolom1")</f>
        <v>@Jccookingsolom1</v>
      </c>
      <c r="C1006" s="8" t="s">
        <v>3812</v>
      </c>
      <c r="D1006" s="9" t="s">
        <v>3813</v>
      </c>
      <c r="E1006" s="10" t="str">
        <f>HYPERLINK("https://twitter.com/Jccookingsolom1/status/1071043785512140800","1071043785512140800")</f>
        <v>1071043785512140800</v>
      </c>
      <c r="F1006" s="12"/>
      <c r="G1006" s="12"/>
      <c r="H1006" s="12"/>
      <c r="I1006" s="13">
        <v>0</v>
      </c>
      <c r="J1006" s="13">
        <v>3</v>
      </c>
      <c r="K1006" s="14" t="str">
        <f t="shared" ref="K1006:K1008" si="173">HYPERLINK("http://twitter.com/download/android","Twitter for Android")</f>
        <v>Twitter for Android</v>
      </c>
      <c r="L1006" s="13">
        <v>34</v>
      </c>
      <c r="M1006" s="13">
        <v>50</v>
      </c>
      <c r="N1006" s="13">
        <v>0</v>
      </c>
      <c r="O1006" s="15"/>
      <c r="P1006" s="6">
        <v>43382.526203703703</v>
      </c>
      <c r="Q1006" s="12"/>
      <c r="R1006" s="17" t="s">
        <v>3814</v>
      </c>
      <c r="S1006" s="12"/>
      <c r="T1006" s="12"/>
      <c r="U1006" s="10" t="str">
        <f>HYPERLINK("https://pbs.twimg.com/profile_images/1069383388774232065/mRw1HJZN.jpg","View")</f>
        <v>View</v>
      </c>
    </row>
    <row r="1007" spans="1:21" ht="40.799999999999997">
      <c r="A1007" s="6">
        <v>43441.630752314813</v>
      </c>
      <c r="B1007" s="7" t="str">
        <f>HYPERLINK("https://twitter.com/deportesdelas3","@deportesdelas3")</f>
        <v>@deportesdelas3</v>
      </c>
      <c r="C1007" s="8" t="s">
        <v>3815</v>
      </c>
      <c r="D1007" s="9" t="s">
        <v>3816</v>
      </c>
      <c r="E1007" s="10" t="str">
        <f>HYPERLINK("https://twitter.com/deportesdelas3/status/1071043726036885505","1071043726036885505")</f>
        <v>1071043726036885505</v>
      </c>
      <c r="F1007" s="12"/>
      <c r="G1007" s="12"/>
      <c r="H1007" s="12"/>
      <c r="I1007" s="13">
        <v>6</v>
      </c>
      <c r="J1007" s="13">
        <v>11</v>
      </c>
      <c r="K1007" s="14" t="str">
        <f t="shared" si="173"/>
        <v>Twitter for Android</v>
      </c>
      <c r="L1007" s="13">
        <v>926</v>
      </c>
      <c r="M1007" s="13">
        <v>1295</v>
      </c>
      <c r="N1007" s="13">
        <v>4</v>
      </c>
      <c r="O1007" s="15"/>
      <c r="P1007" s="6">
        <v>43355.931562500002</v>
      </c>
      <c r="Q1007" s="16" t="s">
        <v>3765</v>
      </c>
      <c r="R1007" s="17" t="s">
        <v>3817</v>
      </c>
      <c r="S1007" s="11" t="s">
        <v>3818</v>
      </c>
      <c r="T1007" s="12"/>
      <c r="U1007" s="10" t="str">
        <f>HYPERLINK("https://pbs.twimg.com/profile_images/1040309337904898048/CDB-yev7.jpg","View")</f>
        <v>View</v>
      </c>
    </row>
    <row r="1008" spans="1:21" ht="61.2">
      <c r="A1008" s="6">
        <v>43441.629340277781</v>
      </c>
      <c r="B1008" s="7" t="str">
        <f>HYPERLINK("https://twitter.com/omairagarcia86","@omairagarcia86")</f>
        <v>@omairagarcia86</v>
      </c>
      <c r="C1008" s="8" t="s">
        <v>1566</v>
      </c>
      <c r="D1008" s="9" t="s">
        <v>3819</v>
      </c>
      <c r="E1008" s="10" t="str">
        <f>HYPERLINK("https://twitter.com/omairagarcia86/status/1071043211437707270","1071043211437707270")</f>
        <v>1071043211437707270</v>
      </c>
      <c r="F1008" s="16" t="s">
        <v>3820</v>
      </c>
      <c r="G1008" s="11" t="s">
        <v>3821</v>
      </c>
      <c r="H1008" s="12"/>
      <c r="I1008" s="13">
        <v>0</v>
      </c>
      <c r="J1008" s="13">
        <v>0</v>
      </c>
      <c r="K1008" s="14" t="str">
        <f t="shared" si="173"/>
        <v>Twitter for Android</v>
      </c>
      <c r="L1008" s="13">
        <v>67</v>
      </c>
      <c r="M1008" s="13">
        <v>123</v>
      </c>
      <c r="N1008" s="13">
        <v>1</v>
      </c>
      <c r="O1008" s="15"/>
      <c r="P1008" s="6">
        <v>40892.981111111112</v>
      </c>
      <c r="Q1008" s="16" t="s">
        <v>200</v>
      </c>
      <c r="R1008" s="17" t="s">
        <v>1569</v>
      </c>
      <c r="S1008" s="12"/>
      <c r="T1008" s="12"/>
      <c r="U1008" s="10" t="str">
        <f>HYPERLINK("https://pbs.twimg.com/profile_images/412455105917489153/K8_bdN3d.jpeg","View")</f>
        <v>View</v>
      </c>
    </row>
    <row r="1009" spans="1:21" ht="30.6">
      <c r="A1009" s="6">
        <v>43441.628923611112</v>
      </c>
      <c r="B1009" s="7" t="str">
        <f>HYPERLINK("https://twitter.com/okdiario","@okdiario")</f>
        <v>@okdiario</v>
      </c>
      <c r="C1009" s="8" t="s">
        <v>1581</v>
      </c>
      <c r="D1009" s="9" t="s">
        <v>3823</v>
      </c>
      <c r="E1009" s="10" t="str">
        <f>HYPERLINK("https://twitter.com/okdiario/status/1071043061340430337","1071043061340430337")</f>
        <v>1071043061340430337</v>
      </c>
      <c r="F1009" s="11" t="s">
        <v>3824</v>
      </c>
      <c r="G1009" s="12"/>
      <c r="H1009" s="12"/>
      <c r="I1009" s="13">
        <v>45</v>
      </c>
      <c r="J1009" s="13">
        <v>69</v>
      </c>
      <c r="K1009" s="14" t="str">
        <f>HYPERLINK("https://www.echobox.com","Echobox Social")</f>
        <v>Echobox Social</v>
      </c>
      <c r="L1009" s="13">
        <v>112413</v>
      </c>
      <c r="M1009" s="13">
        <v>343</v>
      </c>
      <c r="N1009" s="13">
        <v>1440</v>
      </c>
      <c r="O1009" s="18" t="s">
        <v>41</v>
      </c>
      <c r="P1009" s="6">
        <v>42241.708229166667</v>
      </c>
      <c r="Q1009" s="12"/>
      <c r="R1009" s="17" t="s">
        <v>1584</v>
      </c>
      <c r="S1009" s="11" t="s">
        <v>1585</v>
      </c>
      <c r="T1009" s="12"/>
      <c r="U1009" s="10" t="str">
        <f>HYPERLINK("https://pbs.twimg.com/profile_images/789113773697208320/3LvFvi8Q.jpg","View")</f>
        <v>View</v>
      </c>
    </row>
    <row r="1010" spans="1:21" ht="20.399999999999999">
      <c r="A1010" s="6">
        <v>43441.627986111111</v>
      </c>
      <c r="B1010" s="7" t="str">
        <f>HYPERLINK("https://twitter.com/politincorrecto","@politincorrecto")</f>
        <v>@politincorrecto</v>
      </c>
      <c r="C1010" s="8" t="s">
        <v>3825</v>
      </c>
      <c r="D1010" s="9" t="s">
        <v>3826</v>
      </c>
      <c r="E1010" s="10" t="str">
        <f>HYPERLINK("https://twitter.com/politincorrecto/status/1071042721920544768","1071042721920544768")</f>
        <v>1071042721920544768</v>
      </c>
      <c r="F1010" s="11" t="s">
        <v>3827</v>
      </c>
      <c r="G1010" s="12"/>
      <c r="H1010" s="12"/>
      <c r="I1010" s="13">
        <v>0</v>
      </c>
      <c r="J1010" s="13">
        <v>0</v>
      </c>
      <c r="K1010" s="14" t="str">
        <f t="shared" ref="K1010:K1011" si="174">HYPERLINK("http://twitter.com","Twitter Web Client")</f>
        <v>Twitter Web Client</v>
      </c>
      <c r="L1010" s="13">
        <v>1604</v>
      </c>
      <c r="M1010" s="13">
        <v>1465</v>
      </c>
      <c r="N1010" s="13">
        <v>22</v>
      </c>
      <c r="O1010" s="15"/>
      <c r="P1010" s="6">
        <v>40100.970023148147</v>
      </c>
      <c r="Q1010" s="16" t="s">
        <v>2025</v>
      </c>
      <c r="R1010" s="17" t="s">
        <v>3828</v>
      </c>
      <c r="S1010" s="12"/>
      <c r="T1010" s="12"/>
      <c r="U1010" s="10" t="str">
        <f>HYPERLINK("https://pbs.twimg.com/profile_images/957534204555866112/9wxk1ehb.jpg","View")</f>
        <v>View</v>
      </c>
    </row>
    <row r="1011" spans="1:21" ht="20.399999999999999">
      <c r="A1011" s="6">
        <v>43441.62777777778</v>
      </c>
      <c r="B1011" s="7" t="str">
        <f>HYPERLINK("https://twitter.com/CatalunyaRadio","@CatalunyaRadio")</f>
        <v>@CatalunyaRadio</v>
      </c>
      <c r="C1011" s="8" t="s">
        <v>3829</v>
      </c>
      <c r="D1011" s="9" t="s">
        <v>3830</v>
      </c>
      <c r="E1011" s="10" t="str">
        <f>HYPERLINK("https://twitter.com/CatalunyaRadio/status/1071042646221709312","1071042646221709312")</f>
        <v>1071042646221709312</v>
      </c>
      <c r="F1011" s="11" t="s">
        <v>3831</v>
      </c>
      <c r="G1011" s="12"/>
      <c r="H1011" s="12"/>
      <c r="I1011" s="13">
        <v>1</v>
      </c>
      <c r="J1011" s="13">
        <v>1</v>
      </c>
      <c r="K1011" s="14" t="str">
        <f t="shared" si="174"/>
        <v>Twitter Web Client</v>
      </c>
      <c r="L1011" s="13">
        <v>211969</v>
      </c>
      <c r="M1011" s="13">
        <v>245</v>
      </c>
      <c r="N1011" s="13">
        <v>2447</v>
      </c>
      <c r="O1011" s="18" t="s">
        <v>41</v>
      </c>
      <c r="P1011" s="6">
        <v>39287.487708333334</v>
      </c>
      <c r="Q1011" s="16" t="s">
        <v>1249</v>
      </c>
      <c r="R1011" s="17" t="s">
        <v>3832</v>
      </c>
      <c r="S1011" s="11" t="s">
        <v>3833</v>
      </c>
      <c r="T1011" s="12"/>
      <c r="U1011" s="10" t="str">
        <f>HYPERLINK("https://pbs.twimg.com/profile_images/899565676259618816/Dz00TZRv.jpg","View")</f>
        <v>View</v>
      </c>
    </row>
    <row r="1012" spans="1:21" ht="40.799999999999997">
      <c r="A1012" s="6">
        <v>43441.627569444448</v>
      </c>
      <c r="B1012" s="7" t="str">
        <f>HYPERLINK("https://twitter.com/HdadSEntierro","@HdadSEntierro")</f>
        <v>@HdadSEntierro</v>
      </c>
      <c r="C1012" s="8" t="s">
        <v>3834</v>
      </c>
      <c r="D1012" s="9" t="s">
        <v>3835</v>
      </c>
      <c r="E1012" s="10" t="str">
        <f>HYPERLINK("https://twitter.com/HdadSEntierro/status/1071042571412082688","1071042571412082688")</f>
        <v>1071042571412082688</v>
      </c>
      <c r="F1012" s="11" t="s">
        <v>3836</v>
      </c>
      <c r="G1012" s="12"/>
      <c r="H1012" s="12"/>
      <c r="I1012" s="13">
        <v>0</v>
      </c>
      <c r="J1012" s="13">
        <v>0</v>
      </c>
      <c r="K1012" s="14" t="str">
        <f>HYPERLINK("http://www.facebook.com/twitter","Facebook")</f>
        <v>Facebook</v>
      </c>
      <c r="L1012" s="13">
        <v>37</v>
      </c>
      <c r="M1012" s="13">
        <v>69</v>
      </c>
      <c r="N1012" s="13">
        <v>0</v>
      </c>
      <c r="O1012" s="15"/>
      <c r="P1012" s="6">
        <v>43207.696122685185</v>
      </c>
      <c r="Q1012" s="16" t="s">
        <v>3253</v>
      </c>
      <c r="R1012" s="17" t="s">
        <v>3837</v>
      </c>
      <c r="S1012" s="11" t="s">
        <v>3838</v>
      </c>
      <c r="T1012" s="12"/>
      <c r="U1012" s="10" t="str">
        <f>HYPERLINK("https://pbs.twimg.com/profile_images/986254444298981378/LjCj79jM.jpg","View")</f>
        <v>View</v>
      </c>
    </row>
    <row r="1013" spans="1:21" ht="20.399999999999999">
      <c r="A1013" s="6">
        <v>43441.62704861111</v>
      </c>
      <c r="B1013" s="7" t="str">
        <f>HYPERLINK("https://twitter.com/galguinely","@galguinely")</f>
        <v>@galguinely</v>
      </c>
      <c r="C1013" s="8" t="s">
        <v>3839</v>
      </c>
      <c r="D1013" s="9" t="s">
        <v>1175</v>
      </c>
      <c r="E1013" s="10" t="str">
        <f>HYPERLINK("https://twitter.com/galguinely/status/1071042381611450369","1071042381611450369")</f>
        <v>1071042381611450369</v>
      </c>
      <c r="F1013" s="11" t="s">
        <v>1176</v>
      </c>
      <c r="G1013" s="12"/>
      <c r="H1013" s="12"/>
      <c r="I1013" s="13">
        <v>0</v>
      </c>
      <c r="J1013" s="13">
        <v>0</v>
      </c>
      <c r="K1013" s="14" t="str">
        <f t="shared" ref="K1013:K1015" si="175">HYPERLINK("http://twitter.com","Twitter Web Client")</f>
        <v>Twitter Web Client</v>
      </c>
      <c r="L1013" s="13">
        <v>61</v>
      </c>
      <c r="M1013" s="13">
        <v>178</v>
      </c>
      <c r="N1013" s="13">
        <v>2</v>
      </c>
      <c r="O1013" s="15"/>
      <c r="P1013" s="6">
        <v>40686.654363425929</v>
      </c>
      <c r="Q1013" s="16" t="s">
        <v>3840</v>
      </c>
      <c r="R1013" s="17" t="s">
        <v>3841</v>
      </c>
      <c r="S1013" s="12"/>
      <c r="T1013" s="12"/>
      <c r="U1013" s="10" t="str">
        <f>HYPERLINK("https://pbs.twimg.com/profile_images/2949413700/26ed4551b0a8f32aa95c686da1c7ae30.jpeg","View")</f>
        <v>View</v>
      </c>
    </row>
    <row r="1014" spans="1:21" ht="40.799999999999997">
      <c r="A1014" s="6">
        <v>43441.626863425925</v>
      </c>
      <c r="B1014" s="7" t="str">
        <f>HYPERLINK("https://twitter.com/FJVillalvilla","@FJVillalvilla")</f>
        <v>@FJVillalvilla</v>
      </c>
      <c r="C1014" s="8" t="s">
        <v>1533</v>
      </c>
      <c r="D1014" s="9" t="s">
        <v>3842</v>
      </c>
      <c r="E1014" s="10" t="str">
        <f>HYPERLINK("https://twitter.com/FJVillalvilla/status/1071042315106570243","1071042315106570243")</f>
        <v>1071042315106570243</v>
      </c>
      <c r="F1014" s="11" t="s">
        <v>3843</v>
      </c>
      <c r="G1014" s="12"/>
      <c r="H1014" s="12"/>
      <c r="I1014" s="13">
        <v>0</v>
      </c>
      <c r="J1014" s="13">
        <v>0</v>
      </c>
      <c r="K1014" s="14" t="str">
        <f t="shared" si="175"/>
        <v>Twitter Web Client</v>
      </c>
      <c r="L1014" s="13">
        <v>1413</v>
      </c>
      <c r="M1014" s="13">
        <v>1244</v>
      </c>
      <c r="N1014" s="13">
        <v>71</v>
      </c>
      <c r="O1014" s="15"/>
      <c r="P1014" s="6">
        <v>40646.738877314812</v>
      </c>
      <c r="Q1014" s="16" t="s">
        <v>1536</v>
      </c>
      <c r="R1014" s="17" t="s">
        <v>1537</v>
      </c>
      <c r="S1014" s="12"/>
      <c r="T1014" s="12"/>
      <c r="U1014" s="10" t="str">
        <f>HYPERLINK("https://pbs.twimg.com/profile_images/1002896281553993728/-dwfjt-O.jpg","View")</f>
        <v>View</v>
      </c>
    </row>
    <row r="1015" spans="1:21" ht="40.799999999999997">
      <c r="A1015" s="6">
        <v>43441.62563657407</v>
      </c>
      <c r="B1015" s="7" t="str">
        <f>HYPERLINK("https://twitter.com/Israelem","@Israelem")</f>
        <v>@Israelem</v>
      </c>
      <c r="C1015" s="8" t="s">
        <v>3844</v>
      </c>
      <c r="D1015" s="9" t="s">
        <v>3845</v>
      </c>
      <c r="E1015" s="10" t="str">
        <f>HYPERLINK("https://twitter.com/Israelem/status/1071041869809901568","1071041869809901568")</f>
        <v>1071041869809901568</v>
      </c>
      <c r="F1015" s="11" t="s">
        <v>246</v>
      </c>
      <c r="G1015" s="12"/>
      <c r="H1015" s="12"/>
      <c r="I1015" s="13">
        <v>0</v>
      </c>
      <c r="J1015" s="13">
        <v>0</v>
      </c>
      <c r="K1015" s="14" t="str">
        <f t="shared" si="175"/>
        <v>Twitter Web Client</v>
      </c>
      <c r="L1015" s="13">
        <v>2975</v>
      </c>
      <c r="M1015" s="13">
        <v>957</v>
      </c>
      <c r="N1015" s="13">
        <v>156</v>
      </c>
      <c r="O1015" s="15"/>
      <c r="P1015" s="6">
        <v>40112.483078703706</v>
      </c>
      <c r="Q1015" s="16" t="s">
        <v>427</v>
      </c>
      <c r="R1015" s="17" t="s">
        <v>3846</v>
      </c>
      <c r="S1015" s="11" t="s">
        <v>3847</v>
      </c>
      <c r="T1015" s="12"/>
      <c r="U1015" s="10" t="str">
        <f>HYPERLINK("https://pbs.twimg.com/profile_images/1059578996030169089/EOcGvxsT.jpg","View")</f>
        <v>View</v>
      </c>
    </row>
    <row r="1016" spans="1:21" ht="20.399999999999999">
      <c r="A1016" s="6">
        <v>43441.625034722223</v>
      </c>
      <c r="B1016" s="7" t="str">
        <f>HYPERLINK("https://twitter.com/Cafecito_News","@Cafecito_News")</f>
        <v>@Cafecito_News</v>
      </c>
      <c r="C1016" s="8" t="s">
        <v>3848</v>
      </c>
      <c r="D1016" s="9" t="s">
        <v>714</v>
      </c>
      <c r="E1016" s="10" t="str">
        <f>HYPERLINK("https://twitter.com/Cafecito_News/status/1071041652016451586","1071041652016451586")</f>
        <v>1071041652016451586</v>
      </c>
      <c r="F1016" s="11" t="s">
        <v>715</v>
      </c>
      <c r="G1016" s="11" t="s">
        <v>3849</v>
      </c>
      <c r="H1016" s="12"/>
      <c r="I1016" s="13">
        <v>0</v>
      </c>
      <c r="J1016" s="13">
        <v>0</v>
      </c>
      <c r="K1016" s="14" t="str">
        <f>HYPERLINK("http://epmundo.com","Tuiteo TOP EP (3)")</f>
        <v>Tuiteo TOP EP (3)</v>
      </c>
      <c r="L1016" s="13">
        <v>25948</v>
      </c>
      <c r="M1016" s="13">
        <v>25951</v>
      </c>
      <c r="N1016" s="13">
        <v>106</v>
      </c>
      <c r="O1016" s="15"/>
      <c r="P1016" s="6">
        <v>42269.110787037032</v>
      </c>
      <c r="Q1016" s="12"/>
      <c r="R1016" s="17" t="s">
        <v>3850</v>
      </c>
      <c r="S1016" s="12"/>
      <c r="T1016" s="12"/>
      <c r="U1016" s="10" t="str">
        <f>HYPERLINK("https://pbs.twimg.com/profile_images/913460356625960960/2wYwy3H7.jpg","View")</f>
        <v>View</v>
      </c>
    </row>
    <row r="1017" spans="1:21" ht="40.799999999999997">
      <c r="A1017" s="6">
        <v>43441.62501157407</v>
      </c>
      <c r="B1017" s="7" t="str">
        <f>HYPERLINK("https://twitter.com/InfobaeDeportes","@InfobaeDeportes")</f>
        <v>@InfobaeDeportes</v>
      </c>
      <c r="C1017" s="8" t="s">
        <v>2134</v>
      </c>
      <c r="D1017" s="9" t="s">
        <v>1308</v>
      </c>
      <c r="E1017" s="10" t="str">
        <f>HYPERLINK("https://twitter.com/InfobaeDeportes/status/1071041644655464449","1071041644655464449")</f>
        <v>1071041644655464449</v>
      </c>
      <c r="F1017" s="11" t="s">
        <v>2135</v>
      </c>
      <c r="G1017" s="11" t="s">
        <v>3851</v>
      </c>
      <c r="H1017" s="12"/>
      <c r="I1017" s="13">
        <v>0</v>
      </c>
      <c r="J1017" s="13">
        <v>1</v>
      </c>
      <c r="K1017" s="14" t="str">
        <f>HYPERLINK("https://about.twitter.com/products/tweetdeck","TweetDeck")</f>
        <v>TweetDeck</v>
      </c>
      <c r="L1017" s="13">
        <v>100253</v>
      </c>
      <c r="M1017" s="13">
        <v>2046</v>
      </c>
      <c r="N1017" s="13">
        <v>899</v>
      </c>
      <c r="O1017" s="18" t="s">
        <v>41</v>
      </c>
      <c r="P1017" s="6">
        <v>40411.84306712963</v>
      </c>
      <c r="Q1017" s="16" t="s">
        <v>1515</v>
      </c>
      <c r="R1017" s="17" t="s">
        <v>2138</v>
      </c>
      <c r="S1017" s="11" t="s">
        <v>2139</v>
      </c>
      <c r="T1017" s="12"/>
      <c r="U1017" s="10" t="str">
        <f>HYPERLINK("https://pbs.twimg.com/profile_images/879377154659819521/yPohztCq.jpg","View")</f>
        <v>View</v>
      </c>
    </row>
    <row r="1018" spans="1:21" ht="20.399999999999999">
      <c r="A1018" s="6">
        <v>43441.625</v>
      </c>
      <c r="B1018" s="7" t="str">
        <f>HYPERLINK("https://twitter.com/champions_total","@champions_total")</f>
        <v>@champions_total</v>
      </c>
      <c r="C1018" s="8" t="s">
        <v>3852</v>
      </c>
      <c r="D1018" s="9" t="s">
        <v>1931</v>
      </c>
      <c r="E1018" s="10" t="str">
        <f>HYPERLINK("https://twitter.com/champions_total/status/1071041638108139522","1071041638108139522")</f>
        <v>1071041638108139522</v>
      </c>
      <c r="F1018" s="11" t="s">
        <v>1932</v>
      </c>
      <c r="G1018" s="12"/>
      <c r="H1018" s="12"/>
      <c r="I1018" s="13">
        <v>0</v>
      </c>
      <c r="J1018" s="13">
        <v>0</v>
      </c>
      <c r="K1018" s="14" t="str">
        <f>HYPERLINK("http://dogtrack.es","DogTrack_Oficial")</f>
        <v>DogTrack_Oficial</v>
      </c>
      <c r="L1018" s="13">
        <v>37104</v>
      </c>
      <c r="M1018" s="13">
        <v>628</v>
      </c>
      <c r="N1018" s="13">
        <v>205</v>
      </c>
      <c r="O1018" s="18" t="s">
        <v>41</v>
      </c>
      <c r="P1018" s="6">
        <v>42118.706400462965</v>
      </c>
      <c r="Q1018" s="12"/>
      <c r="R1018" s="17" t="s">
        <v>3853</v>
      </c>
      <c r="S1018" s="11" t="s">
        <v>3854</v>
      </c>
      <c r="T1018" s="12"/>
      <c r="U1018" s="10" t="str">
        <f>HYPERLINK("https://pbs.twimg.com/profile_images/983970766113918976/jlwQtP1z.jpg","View")</f>
        <v>View</v>
      </c>
    </row>
    <row r="1019" spans="1:21" ht="20.399999999999999">
      <c r="A1019" s="6">
        <v>43441.624548611115</v>
      </c>
      <c r="B1019" s="7" t="str">
        <f>HYPERLINK("https://twitter.com/Trompeta36","@Trompeta36")</f>
        <v>@Trompeta36</v>
      </c>
      <c r="C1019" s="8" t="s">
        <v>3855</v>
      </c>
      <c r="D1019" s="9" t="s">
        <v>3856</v>
      </c>
      <c r="E1019" s="10" t="str">
        <f>HYPERLINK("https://twitter.com/Trompeta36/status/1071041475524395008","1071041475524395008")</f>
        <v>1071041475524395008</v>
      </c>
      <c r="F1019" s="11" t="s">
        <v>3857</v>
      </c>
      <c r="G1019" s="12"/>
      <c r="H1019" s="12"/>
      <c r="I1019" s="13">
        <v>0</v>
      </c>
      <c r="J1019" s="13">
        <v>0</v>
      </c>
      <c r="K1019" s="14" t="str">
        <f>HYPERLINK("http://www.facebook.com/twitter","Facebook")</f>
        <v>Facebook</v>
      </c>
      <c r="L1019" s="13">
        <v>2244</v>
      </c>
      <c r="M1019" s="13">
        <v>2948</v>
      </c>
      <c r="N1019" s="13">
        <v>21</v>
      </c>
      <c r="O1019" s="15"/>
      <c r="P1019" s="6">
        <v>40835.551631944443</v>
      </c>
      <c r="Q1019" s="16" t="s">
        <v>3858</v>
      </c>
      <c r="R1019" s="17" t="s">
        <v>3859</v>
      </c>
      <c r="S1019" s="12"/>
      <c r="T1019" s="12"/>
      <c r="U1019" s="10" t="str">
        <f>HYPERLINK("https://pbs.twimg.com/profile_images/723132334489346048/JJaObwC9.jpg","View")</f>
        <v>View</v>
      </c>
    </row>
    <row r="1020" spans="1:21" ht="40.799999999999997">
      <c r="A1020" s="6">
        <v>43441.624293981484</v>
      </c>
      <c r="B1020" s="7" t="str">
        <f>HYPERLINK("https://twitter.com/Berta_Marquez","@Berta_Marquez")</f>
        <v>@Berta_Marquez</v>
      </c>
      <c r="C1020" s="8" t="s">
        <v>3860</v>
      </c>
      <c r="D1020" s="9" t="s">
        <v>3861</v>
      </c>
      <c r="E1020" s="10" t="str">
        <f>HYPERLINK("https://twitter.com/Berta_Marquez/status/1071041385141334016","1071041385141334016")</f>
        <v>1071041385141334016</v>
      </c>
      <c r="F1020" s="12"/>
      <c r="G1020" s="11" t="s">
        <v>3862</v>
      </c>
      <c r="H1020" s="12"/>
      <c r="I1020" s="13">
        <v>0</v>
      </c>
      <c r="J1020" s="13">
        <v>0</v>
      </c>
      <c r="K1020" s="14" t="str">
        <f>HYPERLINK("http://twitter.com/download/iphone","Twitter for iPhone")</f>
        <v>Twitter for iPhone</v>
      </c>
      <c r="L1020" s="13">
        <v>1832</v>
      </c>
      <c r="M1020" s="13">
        <v>887</v>
      </c>
      <c r="N1020" s="13">
        <v>41</v>
      </c>
      <c r="O1020" s="15"/>
      <c r="P1020" s="6">
        <v>40638.547083333331</v>
      </c>
      <c r="Q1020" s="16" t="s">
        <v>26</v>
      </c>
      <c r="R1020" s="17" t="s">
        <v>3863</v>
      </c>
      <c r="S1020" s="12"/>
      <c r="T1020" s="12"/>
      <c r="U1020" s="10" t="str">
        <f>HYPERLINK("https://pbs.twimg.com/profile_images/573616872605794304/1kvL99M2.jpeg","View")</f>
        <v>View</v>
      </c>
    </row>
    <row r="1021" spans="1:21" ht="40.799999999999997">
      <c r="A1021" s="6">
        <v>43441.624108796299</v>
      </c>
      <c r="B1021" s="7" t="str">
        <f>HYPERLINK("https://twitter.com/FELIXMA66782826","@FELIXMA66782826")</f>
        <v>@FELIXMA66782826</v>
      </c>
      <c r="C1021" s="8" t="s">
        <v>83</v>
      </c>
      <c r="D1021" s="9" t="s">
        <v>3864</v>
      </c>
      <c r="E1021" s="10" t="str">
        <f>HYPERLINK("https://twitter.com/FELIXMA66782826/status/1071041316384051202","1071041316384051202")</f>
        <v>1071041316384051202</v>
      </c>
      <c r="F1021" s="12"/>
      <c r="G1021" s="12"/>
      <c r="H1021" s="12"/>
      <c r="I1021" s="13">
        <v>0</v>
      </c>
      <c r="J1021" s="13">
        <v>0</v>
      </c>
      <c r="K1021" s="14" t="str">
        <f t="shared" ref="K1021:K1022" si="176">HYPERLINK("http://twitter.com/download/android","Twitter for Android")</f>
        <v>Twitter for Android</v>
      </c>
      <c r="L1021" s="13">
        <v>130</v>
      </c>
      <c r="M1021" s="13">
        <v>434</v>
      </c>
      <c r="N1021" s="13">
        <v>0</v>
      </c>
      <c r="O1021" s="15"/>
      <c r="P1021" s="6">
        <v>43239.908032407402</v>
      </c>
      <c r="Q1021" s="16" t="s">
        <v>87</v>
      </c>
      <c r="R1021" s="17" t="s">
        <v>88</v>
      </c>
      <c r="S1021" s="12"/>
      <c r="T1021" s="12"/>
      <c r="U1021" s="10" t="str">
        <f>HYPERLINK("https://pbs.twimg.com/profile_images/998112873586069505/YLtC4nWK.jpg","View")</f>
        <v>View</v>
      </c>
    </row>
    <row r="1022" spans="1:21" ht="30.6">
      <c r="A1022" s="6">
        <v>43441.623900462961</v>
      </c>
      <c r="B1022" s="7" t="str">
        <f>HYPERLINK("https://twitter.com/jimenezdelvalle","@jimenezdelvalle")</f>
        <v>@jimenezdelvalle</v>
      </c>
      <c r="C1022" s="8" t="s">
        <v>3865</v>
      </c>
      <c r="D1022" s="9" t="s">
        <v>3866</v>
      </c>
      <c r="E1022" s="10" t="str">
        <f>HYPERLINK("https://twitter.com/jimenezdelvalle/status/1071041239024308224","1071041239024308224")</f>
        <v>1071041239024308224</v>
      </c>
      <c r="F1022" s="12"/>
      <c r="G1022" s="12"/>
      <c r="H1022" s="12"/>
      <c r="I1022" s="13">
        <v>0</v>
      </c>
      <c r="J1022" s="13">
        <v>0</v>
      </c>
      <c r="K1022" s="14" t="str">
        <f t="shared" si="176"/>
        <v>Twitter for Android</v>
      </c>
      <c r="L1022" s="13">
        <v>3</v>
      </c>
      <c r="M1022" s="13">
        <v>32</v>
      </c>
      <c r="N1022" s="13">
        <v>0</v>
      </c>
      <c r="O1022" s="15"/>
      <c r="P1022" s="6">
        <v>41299.459548611107</v>
      </c>
      <c r="Q1022" s="12"/>
      <c r="R1022" s="19"/>
      <c r="S1022" s="12"/>
      <c r="T1022" s="12"/>
      <c r="U1022" s="10" t="str">
        <f>HYPERLINK("https://pbs.twimg.com/profile_images/926126378927443968/qQeGAZS6.jpg","View")</f>
        <v>View</v>
      </c>
    </row>
    <row r="1023" spans="1:21" ht="20.399999999999999">
      <c r="A1023" s="6">
        <v>43441.622291666667</v>
      </c>
      <c r="B1023" s="7" t="str">
        <f>HYPERLINK("https://twitter.com/m_calvente","@m_calvente")</f>
        <v>@m_calvente</v>
      </c>
      <c r="C1023" s="8" t="s">
        <v>3867</v>
      </c>
      <c r="D1023" s="9" t="s">
        <v>3868</v>
      </c>
      <c r="E1023" s="10" t="str">
        <f>HYPERLINK("https://twitter.com/m_calvente/status/1071040657224011778","1071040657224011778")</f>
        <v>1071040657224011778</v>
      </c>
      <c r="F1023" s="11" t="s">
        <v>3869</v>
      </c>
      <c r="G1023" s="12"/>
      <c r="H1023" s="12"/>
      <c r="I1023" s="13">
        <v>0</v>
      </c>
      <c r="J1023" s="13">
        <v>0</v>
      </c>
      <c r="K1023" s="14" t="str">
        <f>HYPERLINK("http://twitter.com","Twitter Web Client")</f>
        <v>Twitter Web Client</v>
      </c>
      <c r="L1023" s="13">
        <v>699</v>
      </c>
      <c r="M1023" s="13">
        <v>1291</v>
      </c>
      <c r="N1023" s="13">
        <v>14</v>
      </c>
      <c r="O1023" s="15"/>
      <c r="P1023" s="6">
        <v>40242.980092592596</v>
      </c>
      <c r="Q1023" s="16" t="s">
        <v>3870</v>
      </c>
      <c r="R1023" s="17" t="s">
        <v>3871</v>
      </c>
      <c r="S1023" s="12"/>
      <c r="T1023" s="12"/>
      <c r="U1023" s="10" t="str">
        <f>HYPERLINK("https://pbs.twimg.com/profile_images/900031145131331586/xoNkyR-f.jpg","View")</f>
        <v>View</v>
      </c>
    </row>
    <row r="1024" spans="1:21" ht="30.6">
      <c r="A1024" s="6">
        <v>43441.621134259258</v>
      </c>
      <c r="B1024" s="7" t="str">
        <f>HYPERLINK("https://twitter.com/InfobaeAmerica","@InfobaeAmerica")</f>
        <v>@InfobaeAmerica</v>
      </c>
      <c r="C1024" s="8" t="s">
        <v>3872</v>
      </c>
      <c r="D1024" s="9" t="s">
        <v>1308</v>
      </c>
      <c r="E1024" s="10" t="str">
        <f>HYPERLINK("https://twitter.com/InfobaeAmerica/status/1071040236526944259","1071040236526944259")</f>
        <v>1071040236526944259</v>
      </c>
      <c r="F1024" s="11" t="s">
        <v>2135</v>
      </c>
      <c r="G1024" s="11" t="s">
        <v>3873</v>
      </c>
      <c r="H1024" s="12"/>
      <c r="I1024" s="13">
        <v>1</v>
      </c>
      <c r="J1024" s="13">
        <v>1</v>
      </c>
      <c r="K1024" s="14" t="str">
        <f>HYPERLINK("https://about.twitter.com/products/tweetdeck","TweetDeck")</f>
        <v>TweetDeck</v>
      </c>
      <c r="L1024" s="13">
        <v>983440</v>
      </c>
      <c r="M1024" s="13">
        <v>2732</v>
      </c>
      <c r="N1024" s="13">
        <v>5759</v>
      </c>
      <c r="O1024" s="18" t="s">
        <v>41</v>
      </c>
      <c r="P1024" s="6">
        <v>39293.898680555554</v>
      </c>
      <c r="Q1024" s="12"/>
      <c r="R1024" s="17" t="s">
        <v>3874</v>
      </c>
      <c r="S1024" s="11" t="s">
        <v>3875</v>
      </c>
      <c r="T1024" s="12"/>
      <c r="U1024" s="10" t="str">
        <f>HYPERLINK("https://pbs.twimg.com/profile_images/875421803585437698/-KMSnWEf.jpg","View")</f>
        <v>View</v>
      </c>
    </row>
    <row r="1025" spans="1:21" ht="40.799999999999997">
      <c r="A1025" s="6">
        <v>43441.620717592596</v>
      </c>
      <c r="B1025" s="7" t="str">
        <f>HYPERLINK("https://twitter.com/LouMonth","@LouMonth")</f>
        <v>@LouMonth</v>
      </c>
      <c r="C1025" s="8" t="s">
        <v>3876</v>
      </c>
      <c r="D1025" s="9" t="s">
        <v>3877</v>
      </c>
      <c r="E1025" s="10" t="str">
        <f>HYPERLINK("https://twitter.com/LouMonth/status/1071040086165385218","1071040086165385218")</f>
        <v>1071040086165385218</v>
      </c>
      <c r="F1025" s="11" t="s">
        <v>3878</v>
      </c>
      <c r="G1025" s="12"/>
      <c r="H1025" s="12"/>
      <c r="I1025" s="13">
        <v>4</v>
      </c>
      <c r="J1025" s="13">
        <v>2</v>
      </c>
      <c r="K1025" s="14" t="str">
        <f>HYPERLINK("http://twitter.com/download/android","Twitter for Android")</f>
        <v>Twitter for Android</v>
      </c>
      <c r="L1025" s="13">
        <v>618</v>
      </c>
      <c r="M1025" s="13">
        <v>979</v>
      </c>
      <c r="N1025" s="13">
        <v>11</v>
      </c>
      <c r="O1025" s="15"/>
      <c r="P1025" s="6">
        <v>42043.653182870374</v>
      </c>
      <c r="Q1025" s="12"/>
      <c r="R1025" s="17" t="s">
        <v>3879</v>
      </c>
      <c r="S1025" s="12"/>
      <c r="T1025" s="12"/>
      <c r="U1025" s="10" t="str">
        <f>HYPERLINK("https://pbs.twimg.com/profile_images/973528780307419137/_gxnNgaW.jpg","View")</f>
        <v>View</v>
      </c>
    </row>
    <row r="1026" spans="1:21" ht="20.399999999999999">
      <c r="A1026" s="6">
        <v>43441.620173611111</v>
      </c>
      <c r="B1026" s="7" t="str">
        <f>HYPERLINK("https://twitter.com/uruguayaltoque","@uruguayaltoque")</f>
        <v>@uruguayaltoque</v>
      </c>
      <c r="C1026" s="8" t="s">
        <v>3880</v>
      </c>
      <c r="D1026" s="9" t="s">
        <v>1308</v>
      </c>
      <c r="E1026" s="10" t="str">
        <f>HYPERLINK("https://twitter.com/uruguayaltoque/status/1071039891591569408","1071039891591569408")</f>
        <v>1071039891591569408</v>
      </c>
      <c r="F1026" s="11" t="s">
        <v>3881</v>
      </c>
      <c r="G1026" s="11" t="s">
        <v>3882</v>
      </c>
      <c r="H1026" s="12"/>
      <c r="I1026" s="13">
        <v>0</v>
      </c>
      <c r="J1026" s="13">
        <v>0</v>
      </c>
      <c r="K1026" s="14" t="str">
        <f>HYPERLINK("http://publicize.wp.com/","WordPress.com")</f>
        <v>WordPress.com</v>
      </c>
      <c r="L1026" s="13">
        <v>130</v>
      </c>
      <c r="M1026" s="13">
        <v>437</v>
      </c>
      <c r="N1026" s="13">
        <v>2</v>
      </c>
      <c r="O1026" s="15"/>
      <c r="P1026" s="6">
        <v>41047.71292824074</v>
      </c>
      <c r="Q1026" s="16" t="s">
        <v>3883</v>
      </c>
      <c r="R1026" s="17" t="s">
        <v>3884</v>
      </c>
      <c r="S1026" s="11" t="s">
        <v>3885</v>
      </c>
      <c r="T1026" s="12"/>
      <c r="U1026" s="10" t="str">
        <f>HYPERLINK("https://pbs.twimg.com/profile_images/982347271856570368/vV8fS3nG.jpg","View")</f>
        <v>View</v>
      </c>
    </row>
    <row r="1027" spans="1:21" ht="71.400000000000006">
      <c r="A1027" s="6">
        <v>43441.620046296295</v>
      </c>
      <c r="B1027" s="7" t="str">
        <f>HYPERLINK("https://twitter.com/PepitaMenaMart1","@PepitaMenaMart1")</f>
        <v>@PepitaMenaMart1</v>
      </c>
      <c r="C1027" s="8" t="s">
        <v>2188</v>
      </c>
      <c r="D1027" s="9" t="s">
        <v>3886</v>
      </c>
      <c r="E1027" s="10" t="str">
        <f>HYPERLINK("https://twitter.com/PepitaMenaMart1/status/1071039845617815552","1071039845617815552")</f>
        <v>1071039845617815552</v>
      </c>
      <c r="F1027" s="16" t="s">
        <v>3887</v>
      </c>
      <c r="G1027" s="12"/>
      <c r="H1027" s="12"/>
      <c r="I1027" s="13">
        <v>0</v>
      </c>
      <c r="J1027" s="13">
        <v>0</v>
      </c>
      <c r="K1027" s="14" t="str">
        <f t="shared" ref="K1027:K1029" si="177">HYPERLINK("http://twitter.com/download/android","Twitter for Android")</f>
        <v>Twitter for Android</v>
      </c>
      <c r="L1027" s="13">
        <v>437</v>
      </c>
      <c r="M1027" s="13">
        <v>350</v>
      </c>
      <c r="N1027" s="13">
        <v>1</v>
      </c>
      <c r="O1027" s="15"/>
      <c r="P1027" s="6">
        <v>43124.888506944444</v>
      </c>
      <c r="Q1027" s="16" t="s">
        <v>2190</v>
      </c>
      <c r="R1027" s="17" t="s">
        <v>2191</v>
      </c>
      <c r="S1027" s="12"/>
      <c r="T1027" s="12"/>
      <c r="U1027" s="10" t="str">
        <f>HYPERLINK("https://pbs.twimg.com/profile_images/1053410905311064064/xChXdA8v.jpg","View")</f>
        <v>View</v>
      </c>
    </row>
    <row r="1028" spans="1:21" ht="40.799999999999997">
      <c r="A1028" s="6">
        <v>43441.617627314816</v>
      </c>
      <c r="B1028" s="7" t="str">
        <f>HYPERLINK("https://twitter.com/zemtrigo","@zemtrigo")</f>
        <v>@zemtrigo</v>
      </c>
      <c r="C1028" s="8" t="s">
        <v>3888</v>
      </c>
      <c r="D1028" s="9" t="s">
        <v>3889</v>
      </c>
      <c r="E1028" s="10" t="str">
        <f>HYPERLINK("https://twitter.com/zemtrigo/status/1071038968064602113","1071038968064602113")</f>
        <v>1071038968064602113</v>
      </c>
      <c r="F1028" s="11" t="s">
        <v>2663</v>
      </c>
      <c r="G1028" s="12"/>
      <c r="H1028" s="12"/>
      <c r="I1028" s="13">
        <v>0</v>
      </c>
      <c r="J1028" s="13">
        <v>0</v>
      </c>
      <c r="K1028" s="14" t="str">
        <f t="shared" si="177"/>
        <v>Twitter for Android</v>
      </c>
      <c r="L1028" s="13">
        <v>5</v>
      </c>
      <c r="M1028" s="13">
        <v>20</v>
      </c>
      <c r="N1028" s="13">
        <v>0</v>
      </c>
      <c r="O1028" s="15"/>
      <c r="P1028" s="6">
        <v>42776.952928240746</v>
      </c>
      <c r="Q1028" s="16" t="s">
        <v>3890</v>
      </c>
      <c r="R1028" s="17" t="s">
        <v>3891</v>
      </c>
      <c r="S1028" s="11" t="s">
        <v>3892</v>
      </c>
      <c r="T1028" s="12"/>
      <c r="U1028" s="10" t="str">
        <f>HYPERLINK("https://pbs.twimg.com/profile_images/830194579513151489/7FvgXEVn.jpg","View")</f>
        <v>View</v>
      </c>
    </row>
    <row r="1029" spans="1:21" ht="51">
      <c r="A1029" s="6">
        <v>43441.616562499999</v>
      </c>
      <c r="B1029" s="7" t="str">
        <f>HYPERLINK("https://twitter.com/PepitaMenaMart1","@PepitaMenaMart1")</f>
        <v>@PepitaMenaMart1</v>
      </c>
      <c r="C1029" s="8" t="s">
        <v>2188</v>
      </c>
      <c r="D1029" s="9" t="s">
        <v>3893</v>
      </c>
      <c r="E1029" s="10" t="str">
        <f>HYPERLINK("https://twitter.com/PepitaMenaMart1/status/1071038582079541248","1071038582079541248")</f>
        <v>1071038582079541248</v>
      </c>
      <c r="F1029" s="11" t="s">
        <v>3894</v>
      </c>
      <c r="G1029" s="11" t="s">
        <v>3895</v>
      </c>
      <c r="H1029" s="12"/>
      <c r="I1029" s="13">
        <v>0</v>
      </c>
      <c r="J1029" s="13">
        <v>0</v>
      </c>
      <c r="K1029" s="14" t="str">
        <f t="shared" si="177"/>
        <v>Twitter for Android</v>
      </c>
      <c r="L1029" s="13">
        <v>437</v>
      </c>
      <c r="M1029" s="13">
        <v>350</v>
      </c>
      <c r="N1029" s="13">
        <v>1</v>
      </c>
      <c r="O1029" s="15"/>
      <c r="P1029" s="6">
        <v>43124.888506944444</v>
      </c>
      <c r="Q1029" s="16" t="s">
        <v>2190</v>
      </c>
      <c r="R1029" s="17" t="s">
        <v>2191</v>
      </c>
      <c r="S1029" s="12"/>
      <c r="T1029" s="12"/>
      <c r="U1029" s="10" t="str">
        <f>HYPERLINK("https://pbs.twimg.com/profile_images/1053410905311064064/xChXdA8v.jpg","View")</f>
        <v>View</v>
      </c>
    </row>
    <row r="1030" spans="1:21" ht="40.799999999999997">
      <c r="A1030" s="6">
        <v>43441.615127314813</v>
      </c>
      <c r="B1030" s="7" t="str">
        <f>HYPERLINK("https://twitter.com/Amni003","@Amni003")</f>
        <v>@Amni003</v>
      </c>
      <c r="C1030" s="8" t="s">
        <v>3896</v>
      </c>
      <c r="D1030" s="9" t="s">
        <v>3897</v>
      </c>
      <c r="E1030" s="10" t="str">
        <f>HYPERLINK("https://twitter.com/Amni003/status/1071038061771927553","1071038061771927553")</f>
        <v>1071038061771927553</v>
      </c>
      <c r="F1030" s="11" t="s">
        <v>3898</v>
      </c>
      <c r="G1030" s="12"/>
      <c r="H1030" s="12"/>
      <c r="I1030" s="13">
        <v>0</v>
      </c>
      <c r="J1030" s="13">
        <v>0</v>
      </c>
      <c r="K1030" s="14" t="str">
        <f>HYPERLINK("http://twitter.com","Twitter Web Client")</f>
        <v>Twitter Web Client</v>
      </c>
      <c r="L1030" s="13">
        <v>407</v>
      </c>
      <c r="M1030" s="13">
        <v>598</v>
      </c>
      <c r="N1030" s="13">
        <v>0</v>
      </c>
      <c r="O1030" s="15"/>
      <c r="P1030" s="6">
        <v>41030.887418981481</v>
      </c>
      <c r="Q1030" s="12"/>
      <c r="R1030" s="17" t="s">
        <v>3899</v>
      </c>
      <c r="S1030" s="12"/>
      <c r="T1030" s="12"/>
      <c r="U1030" s="10" t="str">
        <f>HYPERLINK("https://pbs.twimg.com/profile_images/926096158929379329/Q7XyG4yS.jpg","View")</f>
        <v>View</v>
      </c>
    </row>
    <row r="1031" spans="1:21" ht="51">
      <c r="A1031" s="6">
        <v>43441.613715277781</v>
      </c>
      <c r="B1031" s="7" t="str">
        <f>HYPERLINK("https://twitter.com/TM_Linares","@TM_Linares")</f>
        <v>@TM_Linares</v>
      </c>
      <c r="C1031" s="8" t="s">
        <v>3900</v>
      </c>
      <c r="D1031" s="9" t="s">
        <v>3901</v>
      </c>
      <c r="E1031" s="10" t="str">
        <f>HYPERLINK("https://twitter.com/TM_Linares/status/1071037549911703554","1071037549911703554")</f>
        <v>1071037549911703554</v>
      </c>
      <c r="F1031" s="12"/>
      <c r="G1031" s="12"/>
      <c r="H1031" s="12"/>
      <c r="I1031" s="13">
        <v>1</v>
      </c>
      <c r="J1031" s="13">
        <v>7</v>
      </c>
      <c r="K1031" s="14" t="str">
        <f>HYPERLINK("http://twitter.com/download/android","Twitter for Android")</f>
        <v>Twitter for Android</v>
      </c>
      <c r="L1031" s="13">
        <v>413</v>
      </c>
      <c r="M1031" s="13">
        <v>341</v>
      </c>
      <c r="N1031" s="13">
        <v>7</v>
      </c>
      <c r="O1031" s="15"/>
      <c r="P1031" s="6">
        <v>41513.762812499997</v>
      </c>
      <c r="Q1031" s="16" t="s">
        <v>2342</v>
      </c>
      <c r="R1031" s="17" t="s">
        <v>3902</v>
      </c>
      <c r="S1031" s="12"/>
      <c r="T1031" s="12"/>
      <c r="U1031" s="10" t="str">
        <f>HYPERLINK("https://pbs.twimg.com/profile_images/1071128078871605248/qA_z88BB.jpg","View")</f>
        <v>View</v>
      </c>
    </row>
    <row r="1032" spans="1:21" ht="30.6">
      <c r="A1032" s="6">
        <v>43441.613692129627</v>
      </c>
      <c r="B1032" s="7" t="str">
        <f>HYPERLINK("https://twitter.com/periodicovzlano","@periodicovzlano")</f>
        <v>@periodicovzlano</v>
      </c>
      <c r="C1032" s="8" t="s">
        <v>869</v>
      </c>
      <c r="D1032" s="9" t="s">
        <v>3001</v>
      </c>
      <c r="E1032" s="10" t="str">
        <f>HYPERLINK("https://twitter.com/periodicovzlano/status/1071037541976039424","1071037541976039424")</f>
        <v>1071037541976039424</v>
      </c>
      <c r="F1032" s="11" t="s">
        <v>2757</v>
      </c>
      <c r="G1032" s="11" t="s">
        <v>3903</v>
      </c>
      <c r="H1032" s="12"/>
      <c r="I1032" s="13">
        <v>0</v>
      </c>
      <c r="J1032" s="13">
        <v>0</v>
      </c>
      <c r="K1032" s="14" t="str">
        <f>HYPERLINK("http://epmundo.com","Tuiteo TOP EP (1)")</f>
        <v>Tuiteo TOP EP (1)</v>
      </c>
      <c r="L1032" s="13">
        <v>479694</v>
      </c>
      <c r="M1032" s="13">
        <v>358804</v>
      </c>
      <c r="N1032" s="13">
        <v>1295</v>
      </c>
      <c r="O1032" s="15"/>
      <c r="P1032" s="6">
        <v>40663.3512962963</v>
      </c>
      <c r="Q1032" s="16" t="s">
        <v>871</v>
      </c>
      <c r="R1032" s="17" t="s">
        <v>872</v>
      </c>
      <c r="S1032" s="11" t="s">
        <v>873</v>
      </c>
      <c r="T1032" s="12"/>
      <c r="U1032" s="10" t="str">
        <f>HYPERLINK("https://pbs.twimg.com/profile_images/958328579250638849/MCz7Q8U6.jpg","View")</f>
        <v>View</v>
      </c>
    </row>
    <row r="1033" spans="1:21" ht="20.399999999999999">
      <c r="A1033" s="6">
        <v>43441.613564814819</v>
      </c>
      <c r="B1033" s="7" t="str">
        <f>HYPERLINK("https://twitter.com/elarbeyu","@elarbeyu")</f>
        <v>@elarbeyu</v>
      </c>
      <c r="C1033" s="8" t="s">
        <v>3904</v>
      </c>
      <c r="D1033" s="9" t="s">
        <v>3905</v>
      </c>
      <c r="E1033" s="10" t="str">
        <f>HYPERLINK("https://twitter.com/elarbeyu/status/1071037495557668864","1071037495557668864")</f>
        <v>1071037495557668864</v>
      </c>
      <c r="F1033" s="11" t="s">
        <v>3906</v>
      </c>
      <c r="G1033" s="12"/>
      <c r="H1033" s="12"/>
      <c r="I1033" s="13">
        <v>0</v>
      </c>
      <c r="J1033" s="13">
        <v>0</v>
      </c>
      <c r="K1033" s="14" t="str">
        <f t="shared" ref="K1033:K1034" si="178">HYPERLINK("http://www.facebook.com/twitter","Facebook")</f>
        <v>Facebook</v>
      </c>
      <c r="L1033" s="13">
        <v>862</v>
      </c>
      <c r="M1033" s="13">
        <v>2246</v>
      </c>
      <c r="N1033" s="13">
        <v>28</v>
      </c>
      <c r="O1033" s="15"/>
      <c r="P1033" s="6">
        <v>42009.633981481486</v>
      </c>
      <c r="Q1033" s="16" t="s">
        <v>50</v>
      </c>
      <c r="R1033" s="17" t="s">
        <v>3907</v>
      </c>
      <c r="S1033" s="12"/>
      <c r="T1033" s="12"/>
      <c r="U1033" s="10" t="str">
        <f>HYPERLINK("https://pbs.twimg.com/profile_images/874302170560114690/jgMIFW6o.jpg","View")</f>
        <v>View</v>
      </c>
    </row>
    <row r="1034" spans="1:21" ht="30.6">
      <c r="A1034" s="6">
        <v>43441.611342592594</v>
      </c>
      <c r="B1034" s="7" t="str">
        <f>HYPERLINK("https://twitter.com/Hoy_Honduras_","@Hoy_Honduras_")</f>
        <v>@Hoy_Honduras_</v>
      </c>
      <c r="C1034" s="8" t="s">
        <v>3908</v>
      </c>
      <c r="D1034" s="9" t="s">
        <v>3909</v>
      </c>
      <c r="E1034" s="10" t="str">
        <f>HYPERLINK("https://twitter.com/Hoy_Honduras_/status/1071036688158339073","1071036688158339073")</f>
        <v>1071036688158339073</v>
      </c>
      <c r="F1034" s="11" t="s">
        <v>1309</v>
      </c>
      <c r="G1034" s="12"/>
      <c r="H1034" s="12"/>
      <c r="I1034" s="13">
        <v>0</v>
      </c>
      <c r="J1034" s="13">
        <v>0</v>
      </c>
      <c r="K1034" s="14" t="str">
        <f t="shared" si="178"/>
        <v>Facebook</v>
      </c>
      <c r="L1034" s="13">
        <v>390</v>
      </c>
      <c r="M1034" s="13">
        <v>48</v>
      </c>
      <c r="N1034" s="13">
        <v>7</v>
      </c>
      <c r="O1034" s="15"/>
      <c r="P1034" s="6">
        <v>42161.164039351846</v>
      </c>
      <c r="Q1034" s="16" t="s">
        <v>3910</v>
      </c>
      <c r="R1034" s="17" t="s">
        <v>3911</v>
      </c>
      <c r="S1034" s="11" t="s">
        <v>3912</v>
      </c>
      <c r="T1034" s="12"/>
      <c r="U1034" s="10" t="str">
        <f>HYPERLINK("https://pbs.twimg.com/profile_images/828797374273249281/3yR3oIIQ.jpg","View")</f>
        <v>View</v>
      </c>
    </row>
    <row r="1035" spans="1:21" ht="13.2">
      <c r="A1035" s="6">
        <v>43441.609293981484</v>
      </c>
      <c r="B1035" s="7" t="str">
        <f>HYPERLINK("https://twitter.com/DeirdreTynan","@DeirdreTynan")</f>
        <v>@DeirdreTynan</v>
      </c>
      <c r="C1035" s="8" t="s">
        <v>3913</v>
      </c>
      <c r="D1035" s="9" t="s">
        <v>405</v>
      </c>
      <c r="E1035" s="10" t="str">
        <f>HYPERLINK("https://twitter.com/DeirdreTynan/status/1071035947393916929","1071035947393916929")</f>
        <v>1071035947393916929</v>
      </c>
      <c r="F1035" s="11" t="s">
        <v>3914</v>
      </c>
      <c r="G1035" s="12"/>
      <c r="H1035" s="12"/>
      <c r="I1035" s="13">
        <v>0</v>
      </c>
      <c r="J1035" s="13">
        <v>0</v>
      </c>
      <c r="K1035" s="14" t="str">
        <f>HYPERLINK("http://twitter.com","Twitter Web Client")</f>
        <v>Twitter Web Client</v>
      </c>
      <c r="L1035" s="13">
        <v>1757</v>
      </c>
      <c r="M1035" s="13">
        <v>911</v>
      </c>
      <c r="N1035" s="13">
        <v>96</v>
      </c>
      <c r="O1035" s="15"/>
      <c r="P1035" s="6">
        <v>39981.436122685183</v>
      </c>
      <c r="Q1035" s="12"/>
      <c r="R1035" s="19"/>
      <c r="S1035" s="11" t="s">
        <v>3915</v>
      </c>
      <c r="T1035" s="12"/>
      <c r="U1035" s="10" t="str">
        <f>HYPERLINK("https://pbs.twimg.com/profile_images/3035847835/76fc07dbe15259c848c96bb58b06130f.jpeg","View")</f>
        <v>View</v>
      </c>
    </row>
    <row r="1036" spans="1:21" ht="20.399999999999999">
      <c r="A1036" s="6">
        <v>43441.609085648146</v>
      </c>
      <c r="B1036" s="7" t="str">
        <f>HYPERLINK("https://twitter.com/InfobaeVzla","@InfobaeVzla")</f>
        <v>@InfobaeVzla</v>
      </c>
      <c r="C1036" s="8" t="s">
        <v>3916</v>
      </c>
      <c r="D1036" s="9" t="s">
        <v>1308</v>
      </c>
      <c r="E1036" s="10" t="str">
        <f>HYPERLINK("https://twitter.com/InfobaeVzla/status/1071035873284636673","1071035873284636673")</f>
        <v>1071035873284636673</v>
      </c>
      <c r="F1036" s="11" t="s">
        <v>3917</v>
      </c>
      <c r="G1036" s="11" t="s">
        <v>3918</v>
      </c>
      <c r="H1036" s="12"/>
      <c r="I1036" s="13">
        <v>0</v>
      </c>
      <c r="J1036" s="13">
        <v>0</v>
      </c>
      <c r="K1036" s="14" t="str">
        <f>HYPERLINK("https://dlvrit.com/","dlvr.it")</f>
        <v>dlvr.it</v>
      </c>
      <c r="L1036" s="13">
        <v>5914</v>
      </c>
      <c r="M1036" s="13">
        <v>463</v>
      </c>
      <c r="N1036" s="13">
        <v>94</v>
      </c>
      <c r="O1036" s="18" t="s">
        <v>41</v>
      </c>
      <c r="P1036" s="6">
        <v>42069.856574074074</v>
      </c>
      <c r="Q1036" s="12"/>
      <c r="R1036" s="17" t="s">
        <v>3919</v>
      </c>
      <c r="S1036" s="11" t="s">
        <v>3920</v>
      </c>
      <c r="T1036" s="12"/>
      <c r="U1036" s="10" t="str">
        <f>HYPERLINK("https://pbs.twimg.com/profile_images/875411136920866817/jYeuYDNg.jpg","View")</f>
        <v>View</v>
      </c>
    </row>
    <row r="1037" spans="1:21" ht="20.399999999999999">
      <c r="A1037" s="6">
        <v>43441.608159722222</v>
      </c>
      <c r="B1037" s="7" t="str">
        <f>HYPERLINK("https://twitter.com/nuevospapeles","@nuevospapeles")</f>
        <v>@nuevospapeles</v>
      </c>
      <c r="C1037" s="8" t="s">
        <v>3921</v>
      </c>
      <c r="D1037" s="9" t="s">
        <v>3923</v>
      </c>
      <c r="E1037" s="10" t="str">
        <f>HYPERLINK("https://twitter.com/nuevospapeles/status/1071035535542636544","1071035535542636544")</f>
        <v>1071035535542636544</v>
      </c>
      <c r="F1037" s="11" t="s">
        <v>3924</v>
      </c>
      <c r="G1037" s="11" t="s">
        <v>3925</v>
      </c>
      <c r="H1037" s="12"/>
      <c r="I1037" s="13">
        <v>0</v>
      </c>
      <c r="J1037" s="13">
        <v>0</v>
      </c>
      <c r="K1037" s="14" t="str">
        <f t="shared" ref="K1037:K1038" si="179">HYPERLINK("http://twitter.com","Twitter Web Client")</f>
        <v>Twitter Web Client</v>
      </c>
      <c r="L1037" s="13">
        <v>4582</v>
      </c>
      <c r="M1037" s="13">
        <v>3508</v>
      </c>
      <c r="N1037" s="13">
        <v>17</v>
      </c>
      <c r="O1037" s="15"/>
      <c r="P1037" s="6">
        <v>42494.706956018519</v>
      </c>
      <c r="Q1037" s="16" t="s">
        <v>1753</v>
      </c>
      <c r="R1037" s="17" t="s">
        <v>3926</v>
      </c>
      <c r="S1037" s="11" t="s">
        <v>3927</v>
      </c>
      <c r="T1037" s="12"/>
      <c r="U1037" s="10" t="str">
        <f>HYPERLINK("https://pbs.twimg.com/profile_images/766101980116815872/TToKy9km.jpg","View")</f>
        <v>View</v>
      </c>
    </row>
    <row r="1038" spans="1:21" ht="20.399999999999999">
      <c r="A1038" s="6">
        <v>43441.607546296298</v>
      </c>
      <c r="B1038" s="7" t="str">
        <f>HYPERLINK("https://twitter.com/LaRazon_mx","@LaRazon_mx")</f>
        <v>@LaRazon_mx</v>
      </c>
      <c r="C1038" s="8" t="s">
        <v>2986</v>
      </c>
      <c r="D1038" s="9" t="s">
        <v>3928</v>
      </c>
      <c r="E1038" s="10" t="str">
        <f>HYPERLINK("https://twitter.com/LaRazon_mx/status/1071035315392008193","1071035315392008193")</f>
        <v>1071035315392008193</v>
      </c>
      <c r="F1038" s="11" t="s">
        <v>2988</v>
      </c>
      <c r="G1038" s="12"/>
      <c r="H1038" s="12"/>
      <c r="I1038" s="13">
        <v>1</v>
      </c>
      <c r="J1038" s="13">
        <v>1</v>
      </c>
      <c r="K1038" s="14" t="str">
        <f t="shared" si="179"/>
        <v>Twitter Web Client</v>
      </c>
      <c r="L1038" s="13">
        <v>118381</v>
      </c>
      <c r="M1038" s="13">
        <v>1828</v>
      </c>
      <c r="N1038" s="13">
        <v>1758</v>
      </c>
      <c r="O1038" s="18" t="s">
        <v>41</v>
      </c>
      <c r="P1038" s="6">
        <v>39979.785127314812</v>
      </c>
      <c r="Q1038" s="16" t="s">
        <v>862</v>
      </c>
      <c r="R1038" s="17" t="s">
        <v>2989</v>
      </c>
      <c r="S1038" s="11" t="s">
        <v>2990</v>
      </c>
      <c r="T1038" s="12"/>
      <c r="U1038" s="10" t="str">
        <f>HYPERLINK("https://pbs.twimg.com/profile_images/1059484389988597766/i0zWaUu9.jpg","View")</f>
        <v>View</v>
      </c>
    </row>
    <row r="1039" spans="1:21" ht="20.399999999999999">
      <c r="A1039" s="6">
        <v>43441.606307870374</v>
      </c>
      <c r="B1039" s="7" t="str">
        <f>HYPERLINK("https://twitter.com/NoticieroUniv","@NoticieroUniv")</f>
        <v>@NoticieroUniv</v>
      </c>
      <c r="C1039" s="8" t="s">
        <v>3128</v>
      </c>
      <c r="D1039" s="9" t="s">
        <v>3930</v>
      </c>
      <c r="E1039" s="10" t="str">
        <f>HYPERLINK("https://twitter.com/NoticieroUniv/status/1071034865502601216","1071034865502601216")</f>
        <v>1071034865502601216</v>
      </c>
      <c r="F1039" s="11" t="s">
        <v>3931</v>
      </c>
      <c r="G1039" s="12"/>
      <c r="H1039" s="12"/>
      <c r="I1039" s="13">
        <v>0</v>
      </c>
      <c r="J1039" s="13">
        <v>0</v>
      </c>
      <c r="K1039" s="14" t="str">
        <f>HYPERLINK("https://noticierouniversal.com/","NoticieroUniversal")</f>
        <v>NoticieroUniversal</v>
      </c>
      <c r="L1039" s="13">
        <v>836</v>
      </c>
      <c r="M1039" s="13">
        <v>36</v>
      </c>
      <c r="N1039" s="13">
        <v>21</v>
      </c>
      <c r="O1039" s="15"/>
      <c r="P1039" s="6">
        <v>42402.547939814816</v>
      </c>
      <c r="Q1039" s="16" t="s">
        <v>87</v>
      </c>
      <c r="R1039" s="17" t="s">
        <v>3131</v>
      </c>
      <c r="S1039" s="11" t="s">
        <v>3132</v>
      </c>
      <c r="T1039" s="12"/>
      <c r="U1039" s="10" t="str">
        <f>HYPERLINK("https://pbs.twimg.com/profile_images/719648419925594113/OnR0XNMn.jpg","View")</f>
        <v>View</v>
      </c>
    </row>
    <row r="1040" spans="1:21" ht="30.6">
      <c r="A1040" s="6">
        <v>43441.606238425928</v>
      </c>
      <c r="B1040" s="7" t="str">
        <f>HYPERLINK("https://twitter.com/frcub","@frcub")</f>
        <v>@frcub</v>
      </c>
      <c r="C1040" s="8" t="s">
        <v>3932</v>
      </c>
      <c r="D1040" s="9" t="s">
        <v>1175</v>
      </c>
      <c r="E1040" s="10" t="str">
        <f>HYPERLINK("https://twitter.com/frcub/status/1071034838931648514","1071034838931648514")</f>
        <v>1071034838931648514</v>
      </c>
      <c r="F1040" s="11" t="s">
        <v>1176</v>
      </c>
      <c r="G1040" s="12"/>
      <c r="H1040" s="12"/>
      <c r="I1040" s="13">
        <v>0</v>
      </c>
      <c r="J1040" s="13">
        <v>0</v>
      </c>
      <c r="K1040" s="14" t="str">
        <f>HYPERLINK("http://twitter.com","Twitter Web Client")</f>
        <v>Twitter Web Client</v>
      </c>
      <c r="L1040" s="13">
        <v>5016</v>
      </c>
      <c r="M1040" s="13">
        <v>3887</v>
      </c>
      <c r="N1040" s="13">
        <v>58</v>
      </c>
      <c r="O1040" s="15"/>
      <c r="P1040" s="6">
        <v>40664.317858796298</v>
      </c>
      <c r="Q1040" s="16" t="s">
        <v>60</v>
      </c>
      <c r="R1040" s="17" t="s">
        <v>3933</v>
      </c>
      <c r="S1040" s="12"/>
      <c r="T1040" s="12"/>
      <c r="U1040" s="10" t="str">
        <f>HYPERLINK("https://pbs.twimg.com/profile_images/1041719046293647360/7xigqmIy.jpg","View")</f>
        <v>View</v>
      </c>
    </row>
    <row r="1041" spans="1:21" ht="81.599999999999994">
      <c r="A1041" s="6">
        <v>43441.605706018519</v>
      </c>
      <c r="B1041" s="7" t="str">
        <f>HYPERLINK("https://twitter.com/sonridesigual","@sonridesigual")</f>
        <v>@sonridesigual</v>
      </c>
      <c r="C1041" s="8" t="s">
        <v>3934</v>
      </c>
      <c r="D1041" s="9" t="s">
        <v>3935</v>
      </c>
      <c r="E1041" s="10" t="str">
        <f>HYPERLINK("https://twitter.com/sonridesigual/status/1071034647608524803","1071034647608524803")</f>
        <v>1071034647608524803</v>
      </c>
      <c r="F1041" s="11" t="s">
        <v>54</v>
      </c>
      <c r="G1041" s="11" t="s">
        <v>55</v>
      </c>
      <c r="H1041" s="12"/>
      <c r="I1041" s="13">
        <v>12</v>
      </c>
      <c r="J1041" s="13">
        <v>35</v>
      </c>
      <c r="K1041" s="14" t="str">
        <f>HYPERLINK("http://twitter.com/download/android","Twitter for Android")</f>
        <v>Twitter for Android</v>
      </c>
      <c r="L1041" s="13">
        <v>2278</v>
      </c>
      <c r="M1041" s="13">
        <v>233</v>
      </c>
      <c r="N1041" s="13">
        <v>3</v>
      </c>
      <c r="O1041" s="15"/>
      <c r="P1041" s="6">
        <v>43327.659201388888</v>
      </c>
      <c r="Q1041" s="16" t="s">
        <v>200</v>
      </c>
      <c r="R1041" s="17" t="s">
        <v>3936</v>
      </c>
      <c r="S1041" s="12"/>
      <c r="T1041" s="12"/>
      <c r="U1041" s="10" t="str">
        <f>HYPERLINK("https://pbs.twimg.com/profile_images/1068857361824129025/SlJz7cWV.jpg","View")</f>
        <v>View</v>
      </c>
    </row>
    <row r="1042" spans="1:21" ht="40.799999999999997">
      <c r="A1042" s="6">
        <v>43441.60564814815</v>
      </c>
      <c r="B1042" s="7" t="str">
        <f>HYPERLINK("https://twitter.com/ILinares_Info","@ILinares_Info")</f>
        <v>@ILinares_Info</v>
      </c>
      <c r="C1042" s="8" t="s">
        <v>3937</v>
      </c>
      <c r="D1042" s="9" t="s">
        <v>3938</v>
      </c>
      <c r="E1042" s="10" t="str">
        <f>HYPERLINK("https://twitter.com/ILinares_Info/status/1071034627828183040","1071034627828183040")</f>
        <v>1071034627828183040</v>
      </c>
      <c r="F1042" s="11" t="s">
        <v>3939</v>
      </c>
      <c r="G1042" s="12"/>
      <c r="H1042" s="12"/>
      <c r="I1042" s="13">
        <v>0</v>
      </c>
      <c r="J1042" s="13">
        <v>1</v>
      </c>
      <c r="K1042" s="14" t="str">
        <f t="shared" ref="K1042:K1043" si="180">HYPERLINK("http://twitter.com","Twitter Web Client")</f>
        <v>Twitter Web Client</v>
      </c>
      <c r="L1042" s="13">
        <v>879</v>
      </c>
      <c r="M1042" s="13">
        <v>264</v>
      </c>
      <c r="N1042" s="13">
        <v>13</v>
      </c>
      <c r="O1042" s="15"/>
      <c r="P1042" s="6">
        <v>42557.714490740742</v>
      </c>
      <c r="Q1042" s="16" t="s">
        <v>3253</v>
      </c>
      <c r="R1042" s="17" t="s">
        <v>3940</v>
      </c>
      <c r="S1042" s="11" t="s">
        <v>3941</v>
      </c>
      <c r="T1042" s="12"/>
      <c r="U1042" s="10" t="str">
        <f>HYPERLINK("https://pbs.twimg.com/profile_images/1029767028658384897/irv-i3cc.jpg","View")</f>
        <v>View</v>
      </c>
    </row>
    <row r="1043" spans="1:21" ht="40.799999999999997">
      <c r="A1043" s="6">
        <v>43441.605092592596</v>
      </c>
      <c r="B1043" s="7" t="str">
        <f>HYPERLINK("https://twitter.com/Sanfermin00","@Sanfermin00")</f>
        <v>@Sanfermin00</v>
      </c>
      <c r="C1043" s="8" t="s">
        <v>3942</v>
      </c>
      <c r="D1043" s="9" t="s">
        <v>3943</v>
      </c>
      <c r="E1043" s="10" t="str">
        <f>HYPERLINK("https://twitter.com/Sanfermin00/status/1071034423620059138","1071034423620059138")</f>
        <v>1071034423620059138</v>
      </c>
      <c r="F1043" s="11" t="s">
        <v>3944</v>
      </c>
      <c r="G1043" s="12"/>
      <c r="H1043" s="12"/>
      <c r="I1043" s="13">
        <v>0</v>
      </c>
      <c r="J1043" s="13">
        <v>0</v>
      </c>
      <c r="K1043" s="14" t="str">
        <f t="shared" si="180"/>
        <v>Twitter Web Client</v>
      </c>
      <c r="L1043" s="13">
        <v>16528</v>
      </c>
      <c r="M1043" s="13">
        <v>13714</v>
      </c>
      <c r="N1043" s="13">
        <v>122</v>
      </c>
      <c r="O1043" s="15"/>
      <c r="P1043" s="6">
        <v>42362.637083333335</v>
      </c>
      <c r="Q1043" s="16" t="s">
        <v>3945</v>
      </c>
      <c r="R1043" s="17" t="s">
        <v>3946</v>
      </c>
      <c r="S1043" s="11" t="s">
        <v>3947</v>
      </c>
      <c r="T1043" s="12"/>
      <c r="U1043" s="10" t="str">
        <f>HYPERLINK("https://pbs.twimg.com/profile_images/1064102923624480768/j11dV2-u.jpg","View")</f>
        <v>View</v>
      </c>
    </row>
    <row r="1044" spans="1:21" ht="30.6">
      <c r="A1044" s="6">
        <v>43441.604768518519</v>
      </c>
      <c r="B1044" s="7" t="str">
        <f>HYPERLINK("https://twitter.com/nomemandescall3","@nomemandescall3")</f>
        <v>@nomemandescall3</v>
      </c>
      <c r="C1044" s="8" t="s">
        <v>2848</v>
      </c>
      <c r="D1044" s="9" t="s">
        <v>1317</v>
      </c>
      <c r="E1044" s="10" t="str">
        <f>HYPERLINK("https://twitter.com/nomemandescall3/status/1071034306632536066","1071034306632536066")</f>
        <v>1071034306632536066</v>
      </c>
      <c r="F1044" s="11" t="s">
        <v>576</v>
      </c>
      <c r="G1044" s="12"/>
      <c r="H1044" s="12"/>
      <c r="I1044" s="13">
        <v>0</v>
      </c>
      <c r="J1044" s="13">
        <v>0</v>
      </c>
      <c r="K1044" s="14" t="str">
        <f>HYPERLINK("http://twitter.com/download/iphone","Twitter for iPhone")</f>
        <v>Twitter for iPhone</v>
      </c>
      <c r="L1044" s="13">
        <v>187</v>
      </c>
      <c r="M1044" s="13">
        <v>301</v>
      </c>
      <c r="N1044" s="13">
        <v>0</v>
      </c>
      <c r="O1044" s="15"/>
      <c r="P1044" s="6">
        <v>43284.758842592593</v>
      </c>
      <c r="Q1044" s="16" t="s">
        <v>87</v>
      </c>
      <c r="R1044" s="17" t="s">
        <v>2849</v>
      </c>
      <c r="S1044" s="12"/>
      <c r="T1044" s="12"/>
      <c r="U1044" s="10" t="str">
        <f>HYPERLINK("https://pbs.twimg.com/profile_images/1065664208388456458/ySf0syG8.jpg","View")</f>
        <v>View</v>
      </c>
    </row>
    <row r="1045" spans="1:21" ht="40.799999999999997">
      <c r="A1045" s="6">
        <v>43441.604537037041</v>
      </c>
      <c r="B1045" s="7" t="str">
        <f>HYPERLINK("https://twitter.com/NicoBravezo","@NicoBravezo")</f>
        <v>@NicoBravezo</v>
      </c>
      <c r="C1045" s="8" t="s">
        <v>3948</v>
      </c>
      <c r="D1045" s="9" t="s">
        <v>3949</v>
      </c>
      <c r="E1045" s="10" t="str">
        <f>HYPERLINK("https://twitter.com/NicoBravezo/status/1071034225799897089","1071034225799897089")</f>
        <v>1071034225799897089</v>
      </c>
      <c r="F1045" s="11" t="s">
        <v>115</v>
      </c>
      <c r="G1045" s="12"/>
      <c r="H1045" s="12"/>
      <c r="I1045" s="13">
        <v>0</v>
      </c>
      <c r="J1045" s="13">
        <v>0</v>
      </c>
      <c r="K1045" s="14" t="str">
        <f>HYPERLINK("http://twitter.com/download/android","Twitter for Android")</f>
        <v>Twitter for Android</v>
      </c>
      <c r="L1045" s="13">
        <v>197</v>
      </c>
      <c r="M1045" s="13">
        <v>438</v>
      </c>
      <c r="N1045" s="13">
        <v>1</v>
      </c>
      <c r="O1045" s="15"/>
      <c r="P1045" s="6">
        <v>41616.02207175926</v>
      </c>
      <c r="Q1045" s="16" t="s">
        <v>3952</v>
      </c>
      <c r="R1045" s="17" t="s">
        <v>3953</v>
      </c>
      <c r="S1045" s="12"/>
      <c r="T1045" s="12"/>
      <c r="U1045" s="10" t="str">
        <f>HYPERLINK("https://pbs.twimg.com/profile_images/965866612346716160/vGDo-vAb.jpg","View")</f>
        <v>View</v>
      </c>
    </row>
    <row r="1046" spans="1:21" ht="40.799999999999997">
      <c r="A1046" s="6">
        <v>43441.602708333332</v>
      </c>
      <c r="B1046" s="7" t="str">
        <f>HYPERLINK("https://twitter.com/FJVillalvilla","@FJVillalvilla")</f>
        <v>@FJVillalvilla</v>
      </c>
      <c r="C1046" s="8" t="s">
        <v>1533</v>
      </c>
      <c r="D1046" s="9" t="s">
        <v>3954</v>
      </c>
      <c r="E1046" s="10" t="str">
        <f>HYPERLINK("https://twitter.com/FJVillalvilla/status/1071033560633614336","1071033560633614336")</f>
        <v>1071033560633614336</v>
      </c>
      <c r="F1046" s="16" t="s">
        <v>3955</v>
      </c>
      <c r="G1046" s="12"/>
      <c r="H1046" s="12"/>
      <c r="I1046" s="13">
        <v>0</v>
      </c>
      <c r="J1046" s="13">
        <v>0</v>
      </c>
      <c r="K1046" s="14" t="str">
        <f>HYPERLINK("http://twitter.com","Twitter Web Client")</f>
        <v>Twitter Web Client</v>
      </c>
      <c r="L1046" s="13">
        <v>1413</v>
      </c>
      <c r="M1046" s="13">
        <v>1244</v>
      </c>
      <c r="N1046" s="13">
        <v>71</v>
      </c>
      <c r="O1046" s="15"/>
      <c r="P1046" s="6">
        <v>40646.738877314812</v>
      </c>
      <c r="Q1046" s="16" t="s">
        <v>1536</v>
      </c>
      <c r="R1046" s="17" t="s">
        <v>1537</v>
      </c>
      <c r="S1046" s="12"/>
      <c r="T1046" s="12"/>
      <c r="U1046" s="10" t="str">
        <f>HYPERLINK("https://pbs.twimg.com/profile_images/1002896281553993728/-dwfjt-O.jpg","View")</f>
        <v>View</v>
      </c>
    </row>
    <row r="1047" spans="1:21" ht="20.399999999999999">
      <c r="A1047" s="6">
        <v>43441.601435185185</v>
      </c>
      <c r="B1047" s="7" t="str">
        <f>HYPERLINK("https://twitter.com/MiguelBerruezo","@MiguelBerruezo")</f>
        <v>@MiguelBerruezo</v>
      </c>
      <c r="C1047" s="8" t="s">
        <v>3956</v>
      </c>
      <c r="D1047" s="9" t="s">
        <v>1175</v>
      </c>
      <c r="E1047" s="10" t="str">
        <f>HYPERLINK("https://twitter.com/MiguelBerruezo/status/1071033098614247424","1071033098614247424")</f>
        <v>1071033098614247424</v>
      </c>
      <c r="F1047" s="11" t="s">
        <v>1176</v>
      </c>
      <c r="G1047" s="12"/>
      <c r="H1047" s="12"/>
      <c r="I1047" s="13">
        <v>0</v>
      </c>
      <c r="J1047" s="13">
        <v>0</v>
      </c>
      <c r="K1047" s="14" t="str">
        <f>HYPERLINK("http://twitter.com/download/android","Twitter for Android")</f>
        <v>Twitter for Android</v>
      </c>
      <c r="L1047" s="13">
        <v>1148</v>
      </c>
      <c r="M1047" s="13">
        <v>1176</v>
      </c>
      <c r="N1047" s="13">
        <v>42</v>
      </c>
      <c r="O1047" s="15"/>
      <c r="P1047" s="6">
        <v>40598.717916666668</v>
      </c>
      <c r="Q1047" s="12"/>
      <c r="R1047" s="17" t="s">
        <v>3957</v>
      </c>
      <c r="S1047" s="12"/>
      <c r="T1047" s="12"/>
      <c r="U1047" s="10" t="str">
        <f>HYPERLINK("https://pbs.twimg.com/profile_images/737535075990962176/bJo3igcX.jpg","View")</f>
        <v>View</v>
      </c>
    </row>
    <row r="1048" spans="1:21" ht="40.799999999999997">
      <c r="A1048" s="6">
        <v>43441.600891203707</v>
      </c>
      <c r="B1048" s="7" t="str">
        <f>HYPERLINK("https://twitter.com/FJVillalvilla","@FJVillalvilla")</f>
        <v>@FJVillalvilla</v>
      </c>
      <c r="C1048" s="8" t="s">
        <v>1533</v>
      </c>
      <c r="D1048" s="9" t="s">
        <v>3958</v>
      </c>
      <c r="E1048" s="10" t="str">
        <f>HYPERLINK("https://twitter.com/FJVillalvilla/status/1071032900869599232","1071032900869599232")</f>
        <v>1071032900869599232</v>
      </c>
      <c r="F1048" s="11" t="s">
        <v>2449</v>
      </c>
      <c r="G1048" s="12"/>
      <c r="H1048" s="12"/>
      <c r="I1048" s="13">
        <v>0</v>
      </c>
      <c r="J1048" s="13">
        <v>0</v>
      </c>
      <c r="K1048" s="14" t="str">
        <f>HYPERLINK("http://twitter.com","Twitter Web Client")</f>
        <v>Twitter Web Client</v>
      </c>
      <c r="L1048" s="13">
        <v>1413</v>
      </c>
      <c r="M1048" s="13">
        <v>1244</v>
      </c>
      <c r="N1048" s="13">
        <v>71</v>
      </c>
      <c r="O1048" s="15"/>
      <c r="P1048" s="6">
        <v>40646.738877314812</v>
      </c>
      <c r="Q1048" s="16" t="s">
        <v>1536</v>
      </c>
      <c r="R1048" s="17" t="s">
        <v>1537</v>
      </c>
      <c r="S1048" s="12"/>
      <c r="T1048" s="12"/>
      <c r="U1048" s="10" t="str">
        <f>HYPERLINK("https://pbs.twimg.com/profile_images/1002896281553993728/-dwfjt-O.jpg","View")</f>
        <v>View</v>
      </c>
    </row>
    <row r="1049" spans="1:21" ht="30.6">
      <c r="A1049" s="6">
        <v>43441.600231481483</v>
      </c>
      <c r="B1049" s="7" t="str">
        <f>HYPERLINK("https://twitter.com/mll1964","@mll1964")</f>
        <v>@mll1964</v>
      </c>
      <c r="C1049" s="8" t="s">
        <v>851</v>
      </c>
      <c r="D1049" s="9" t="s">
        <v>3959</v>
      </c>
      <c r="E1049" s="10" t="str">
        <f>HYPERLINK("https://twitter.com/mll1964/status/1071032664529010690","1071032664529010690")</f>
        <v>1071032664529010690</v>
      </c>
      <c r="F1049" s="16" t="s">
        <v>3960</v>
      </c>
      <c r="G1049" s="12"/>
      <c r="H1049" s="12"/>
      <c r="I1049" s="13">
        <v>6</v>
      </c>
      <c r="J1049" s="13">
        <v>3</v>
      </c>
      <c r="K1049" s="14" t="str">
        <f>HYPERLINK("http://twitter.com/download/android","Twitter for Android")</f>
        <v>Twitter for Android</v>
      </c>
      <c r="L1049" s="13">
        <v>47</v>
      </c>
      <c r="M1049" s="13">
        <v>162</v>
      </c>
      <c r="N1049" s="13">
        <v>2</v>
      </c>
      <c r="O1049" s="15"/>
      <c r="P1049" s="6">
        <v>40715.533310185187</v>
      </c>
      <c r="Q1049" s="12"/>
      <c r="R1049" s="19"/>
      <c r="S1049" s="12"/>
      <c r="T1049" s="12"/>
      <c r="U1049" s="10" t="str">
        <f>HYPERLINK("https://pbs.twimg.com/profile_images/428814331716067328/FJEKbJhl.jpeg","View")</f>
        <v>View</v>
      </c>
    </row>
    <row r="1050" spans="1:21" ht="40.799999999999997">
      <c r="A1050" s="6">
        <v>43441.599131944444</v>
      </c>
      <c r="B1050" s="7" t="str">
        <f>HYPERLINK("https://twitter.com/EXNdigital","@EXNdigital")</f>
        <v>@EXNdigital</v>
      </c>
      <c r="C1050" s="8" t="s">
        <v>3961</v>
      </c>
      <c r="D1050" s="9" t="s">
        <v>3962</v>
      </c>
      <c r="E1050" s="10" t="str">
        <f>HYPERLINK("https://twitter.com/EXNdigital/status/1071032263234723843","1071032263234723843")</f>
        <v>1071032263234723843</v>
      </c>
      <c r="F1050" s="12"/>
      <c r="G1050" s="11" t="s">
        <v>3963</v>
      </c>
      <c r="H1050" s="12"/>
      <c r="I1050" s="13">
        <v>3</v>
      </c>
      <c r="J1050" s="13">
        <v>1</v>
      </c>
      <c r="K1050" s="14" t="str">
        <f>HYPERLINK("http://twitter.com","Twitter Web Client")</f>
        <v>Twitter Web Client</v>
      </c>
      <c r="L1050" s="13">
        <v>5741</v>
      </c>
      <c r="M1050" s="13">
        <v>854</v>
      </c>
      <c r="N1050" s="13">
        <v>53</v>
      </c>
      <c r="O1050" s="18" t="s">
        <v>41</v>
      </c>
      <c r="P1050" s="6">
        <v>42662.750023148154</v>
      </c>
      <c r="Q1050" s="16" t="s">
        <v>3964</v>
      </c>
      <c r="R1050" s="17" t="s">
        <v>3965</v>
      </c>
      <c r="S1050" s="11" t="s">
        <v>3966</v>
      </c>
      <c r="T1050" s="12"/>
      <c r="U1050" s="10" t="str">
        <f>HYPERLINK("https://pbs.twimg.com/profile_images/826858953426554884/vj1sVQDL.jpg","View")</f>
        <v>View</v>
      </c>
    </row>
    <row r="1051" spans="1:21" ht="81.599999999999994">
      <c r="A1051" s="6">
        <v>43441.598692129628</v>
      </c>
      <c r="B1051" s="7" t="str">
        <f>HYPERLINK("https://twitter.com/dmrlinares","@dmrlinares")</f>
        <v>@dmrlinares</v>
      </c>
      <c r="C1051" s="8" t="s">
        <v>3967</v>
      </c>
      <c r="D1051" s="9" t="s">
        <v>3968</v>
      </c>
      <c r="E1051" s="10" t="str">
        <f>HYPERLINK("https://twitter.com/dmrlinares/status/1071032104451010560","1071032104451010560")</f>
        <v>1071032104451010560</v>
      </c>
      <c r="F1051" s="11" t="s">
        <v>3969</v>
      </c>
      <c r="G1051" s="12"/>
      <c r="H1051" s="12"/>
      <c r="I1051" s="13">
        <v>1</v>
      </c>
      <c r="J1051" s="13">
        <v>1</v>
      </c>
      <c r="K1051" s="14" t="str">
        <f>HYPERLINK("https://ifttt.com","IFTTT")</f>
        <v>IFTTT</v>
      </c>
      <c r="L1051" s="13">
        <v>1891</v>
      </c>
      <c r="M1051" s="13">
        <v>767</v>
      </c>
      <c r="N1051" s="13">
        <v>47</v>
      </c>
      <c r="O1051" s="15"/>
      <c r="P1051" s="6">
        <v>40695.005567129629</v>
      </c>
      <c r="Q1051" s="16" t="s">
        <v>3970</v>
      </c>
      <c r="R1051" s="17" t="s">
        <v>3971</v>
      </c>
      <c r="S1051" s="11" t="s">
        <v>3972</v>
      </c>
      <c r="T1051" s="12"/>
      <c r="U1051" s="10" t="str">
        <f>HYPERLINK("https://pbs.twimg.com/profile_images/1059892272450428929/OpMvRCC7.jpg","View")</f>
        <v>View</v>
      </c>
    </row>
    <row r="1052" spans="1:21" ht="81.599999999999994">
      <c r="A1052" s="6">
        <v>43441.598090277781</v>
      </c>
      <c r="B1052" s="7" t="str">
        <f>HYPERLINK("https://twitter.com/Ibrahimovizismo","@Ibrahimovizismo")</f>
        <v>@Ibrahimovizismo</v>
      </c>
      <c r="C1052" s="8" t="s">
        <v>3973</v>
      </c>
      <c r="D1052" s="9" t="s">
        <v>3974</v>
      </c>
      <c r="E1052" s="10" t="str">
        <f>HYPERLINK("https://twitter.com/Ibrahimovizismo/status/1071031886959513600","1071031886959513600")</f>
        <v>1071031886959513600</v>
      </c>
      <c r="F1052" s="11" t="s">
        <v>54</v>
      </c>
      <c r="G1052" s="11" t="s">
        <v>55</v>
      </c>
      <c r="H1052" s="12"/>
      <c r="I1052" s="13">
        <v>0</v>
      </c>
      <c r="J1052" s="13">
        <v>1</v>
      </c>
      <c r="K1052" s="14" t="str">
        <f>HYPERLINK("http://twitter.com/download/iphone","Twitter for iPhone")</f>
        <v>Twitter for iPhone</v>
      </c>
      <c r="L1052" s="13">
        <v>845</v>
      </c>
      <c r="M1052" s="13">
        <v>177</v>
      </c>
      <c r="N1052" s="13">
        <v>9</v>
      </c>
      <c r="O1052" s="15"/>
      <c r="P1052" s="6">
        <v>41750.016643518517</v>
      </c>
      <c r="Q1052" s="16" t="s">
        <v>3975</v>
      </c>
      <c r="R1052" s="17" t="s">
        <v>3976</v>
      </c>
      <c r="S1052" s="11" t="s">
        <v>3977</v>
      </c>
      <c r="T1052" s="12"/>
      <c r="U1052" s="10" t="str">
        <f>HYPERLINK("https://pbs.twimg.com/profile_images/684361197852999680/rGwfEiob.jpg","View")</f>
        <v>View</v>
      </c>
    </row>
    <row r="1053" spans="1:21" ht="20.399999999999999">
      <c r="A1053" s="6">
        <v>43441.595879629633</v>
      </c>
      <c r="B1053" s="7" t="str">
        <f>HYPERLINK("https://twitter.com/web_hispanidad","@web_hispanidad")</f>
        <v>@web_hispanidad</v>
      </c>
      <c r="C1053" s="8" t="s">
        <v>3978</v>
      </c>
      <c r="D1053" s="9" t="s">
        <v>3979</v>
      </c>
      <c r="E1053" s="10" t="str">
        <f>HYPERLINK("https://twitter.com/web_hispanidad/status/1071031087420358661","1071031087420358661")</f>
        <v>1071031087420358661</v>
      </c>
      <c r="F1053" s="11" t="s">
        <v>3980</v>
      </c>
      <c r="G1053" s="12"/>
      <c r="H1053" s="12"/>
      <c r="I1053" s="13">
        <v>0</v>
      </c>
      <c r="J1053" s="13">
        <v>0</v>
      </c>
      <c r="K1053" s="14" t="str">
        <f>HYPERLINK("http://www.wearebab.com","Comitium5 BAB")</f>
        <v>Comitium5 BAB</v>
      </c>
      <c r="L1053" s="13">
        <v>7616</v>
      </c>
      <c r="M1053" s="13">
        <v>3846</v>
      </c>
      <c r="N1053" s="13">
        <v>212</v>
      </c>
      <c r="O1053" s="15"/>
      <c r="P1053" s="6">
        <v>40274.553935185184</v>
      </c>
      <c r="Q1053" s="16" t="s">
        <v>1408</v>
      </c>
      <c r="R1053" s="17" t="s">
        <v>3981</v>
      </c>
      <c r="S1053" s="11" t="s">
        <v>3982</v>
      </c>
      <c r="T1053" s="12"/>
      <c r="U1053" s="10" t="str">
        <f>HYPERLINK("https://pbs.twimg.com/profile_images/841028223/logo_H.gif","View")</f>
        <v>View</v>
      </c>
    </row>
    <row r="1054" spans="1:21" ht="20.399999999999999">
      <c r="A1054" s="6">
        <v>43441.595868055556</v>
      </c>
      <c r="B1054" s="7" t="str">
        <f>HYPERLINK("https://twitter.com/EP_Mundo","@EP_Mundo")</f>
        <v>@EP_Mundo</v>
      </c>
      <c r="C1054" s="8" t="s">
        <v>735</v>
      </c>
      <c r="D1054" s="9" t="s">
        <v>2756</v>
      </c>
      <c r="E1054" s="10" t="str">
        <f>HYPERLINK("https://twitter.com/EP_Mundo/status/1071031081607012352","1071031081607012352")</f>
        <v>1071031081607012352</v>
      </c>
      <c r="F1054" s="11" t="s">
        <v>2757</v>
      </c>
      <c r="G1054" s="11" t="s">
        <v>3983</v>
      </c>
      <c r="H1054" s="12"/>
      <c r="I1054" s="13">
        <v>1</v>
      </c>
      <c r="J1054" s="13">
        <v>0</v>
      </c>
      <c r="K1054" s="14" t="str">
        <f>HYPERLINK("http://epmundo.com","Tuiteo TOP EP (2)")</f>
        <v>Tuiteo TOP EP (2)</v>
      </c>
      <c r="L1054" s="13">
        <v>510220</v>
      </c>
      <c r="M1054" s="13">
        <v>301867</v>
      </c>
      <c r="N1054" s="13">
        <v>1363</v>
      </c>
      <c r="O1054" s="15"/>
      <c r="P1054" s="6">
        <v>40203.223078703704</v>
      </c>
      <c r="Q1054" s="12"/>
      <c r="R1054" s="17" t="s">
        <v>739</v>
      </c>
      <c r="S1054" s="11" t="s">
        <v>740</v>
      </c>
      <c r="T1054" s="12"/>
      <c r="U1054" s="10" t="str">
        <f>HYPERLINK("https://pbs.twimg.com/profile_images/958329583778099200/87-xiuzB.jpg","View")</f>
        <v>View</v>
      </c>
    </row>
    <row r="1055" spans="1:21" ht="20.399999999999999">
      <c r="A1055" s="6">
        <v>43441.595497685186</v>
      </c>
      <c r="B1055" s="7" t="str">
        <f>HYPERLINK("https://twitter.com/OndaCero_es","@OndaCero_es")</f>
        <v>@OndaCero_es</v>
      </c>
      <c r="C1055" s="8" t="s">
        <v>3984</v>
      </c>
      <c r="D1055" s="9" t="s">
        <v>1931</v>
      </c>
      <c r="E1055" s="10" t="str">
        <f>HYPERLINK("https://twitter.com/OndaCero_es/status/1071030949993955329","1071030949993955329")</f>
        <v>1071030949993955329</v>
      </c>
      <c r="F1055" s="11" t="s">
        <v>3985</v>
      </c>
      <c r="G1055" s="12"/>
      <c r="H1055" s="12"/>
      <c r="I1055" s="13">
        <v>5</v>
      </c>
      <c r="J1055" s="13">
        <v>14</v>
      </c>
      <c r="K1055" s="14" t="str">
        <f>HYPERLINK("http://dogtrack.es","DogTrack_Oficial")</f>
        <v>DogTrack_Oficial</v>
      </c>
      <c r="L1055" s="13">
        <v>504734</v>
      </c>
      <c r="M1055" s="13">
        <v>676</v>
      </c>
      <c r="N1055" s="13">
        <v>3501</v>
      </c>
      <c r="O1055" s="18" t="s">
        <v>41</v>
      </c>
      <c r="P1055" s="6">
        <v>40450.611562500002</v>
      </c>
      <c r="Q1055" s="12"/>
      <c r="R1055" s="17" t="s">
        <v>3986</v>
      </c>
      <c r="S1055" s="11" t="s">
        <v>3987</v>
      </c>
      <c r="T1055" s="12"/>
      <c r="U1055" s="10" t="str">
        <f>HYPERLINK("https://pbs.twimg.com/profile_images/898971242270793729/R3L_noj-.jpg","View")</f>
        <v>View</v>
      </c>
    </row>
    <row r="1056" spans="1:21" ht="30.6">
      <c r="A1056" s="6">
        <v>43441.594375000001</v>
      </c>
      <c r="B1056" s="7" t="str">
        <f>HYPERLINK("https://twitter.com/heraldodominic1","@heraldodominic1")</f>
        <v>@heraldodominic1</v>
      </c>
      <c r="C1056" s="8" t="s">
        <v>3988</v>
      </c>
      <c r="D1056" s="9" t="s">
        <v>3989</v>
      </c>
      <c r="E1056" s="10" t="str">
        <f>HYPERLINK("https://twitter.com/heraldodominic1/status/1071030539698823168","1071030539698823168")</f>
        <v>1071030539698823168</v>
      </c>
      <c r="F1056" s="11" t="s">
        <v>3990</v>
      </c>
      <c r="G1056" s="12"/>
      <c r="H1056" s="12"/>
      <c r="I1056" s="13">
        <v>0</v>
      </c>
      <c r="J1056" s="13">
        <v>0</v>
      </c>
      <c r="K1056" s="14" t="str">
        <f>HYPERLINK("https://www.google.com/","Google")</f>
        <v>Google</v>
      </c>
      <c r="L1056" s="13">
        <v>35</v>
      </c>
      <c r="M1056" s="13">
        <v>422</v>
      </c>
      <c r="N1056" s="13">
        <v>1</v>
      </c>
      <c r="O1056" s="15"/>
      <c r="P1056" s="6">
        <v>42222.702743055561</v>
      </c>
      <c r="Q1056" s="16" t="s">
        <v>2959</v>
      </c>
      <c r="R1056" s="17" t="s">
        <v>3991</v>
      </c>
      <c r="S1056" s="11" t="s">
        <v>3992</v>
      </c>
      <c r="T1056" s="12"/>
      <c r="U1056" s="10" t="str">
        <f>HYPERLINK("https://pbs.twimg.com/profile_images/629313290796072960/Aeh-uwW5.jpg","View")</f>
        <v>View</v>
      </c>
    </row>
    <row r="1057" spans="1:21" ht="30.6">
      <c r="A1057" s="6">
        <v>43441.594166666662</v>
      </c>
      <c r="B1057" s="7" t="str">
        <f>HYPERLINK("https://twitter.com/NoticiasPuntual","@NoticiasPuntual")</f>
        <v>@NoticiasPuntual</v>
      </c>
      <c r="C1057" s="8" t="s">
        <v>3993</v>
      </c>
      <c r="D1057" s="9" t="s">
        <v>3994</v>
      </c>
      <c r="E1057" s="10" t="str">
        <f>HYPERLINK("https://twitter.com/NoticiasPuntual/status/1071030465480531968","1071030465480531968")</f>
        <v>1071030465480531968</v>
      </c>
      <c r="F1057" s="11" t="s">
        <v>3995</v>
      </c>
      <c r="G1057" s="12"/>
      <c r="H1057" s="12"/>
      <c r="I1057" s="13">
        <v>0</v>
      </c>
      <c r="J1057" s="13">
        <v>0</v>
      </c>
      <c r="K1057" s="14" t="str">
        <f>HYPERLINK("https://ifttt.com","IFTTT")</f>
        <v>IFTTT</v>
      </c>
      <c r="L1057" s="13">
        <v>4512</v>
      </c>
      <c r="M1057" s="13">
        <v>4851</v>
      </c>
      <c r="N1057" s="13">
        <v>111</v>
      </c>
      <c r="O1057" s="15"/>
      <c r="P1057" s="6">
        <v>41734.005578703705</v>
      </c>
      <c r="Q1057" s="16" t="s">
        <v>871</v>
      </c>
      <c r="R1057" s="17" t="s">
        <v>3996</v>
      </c>
      <c r="S1057" s="11" t="s">
        <v>3997</v>
      </c>
      <c r="T1057" s="12"/>
      <c r="U1057" s="10" t="str">
        <f>HYPERLINK("https://pbs.twimg.com/profile_images/515302106958278656/zgiIzbl3.jpeg","View")</f>
        <v>View</v>
      </c>
    </row>
    <row r="1058" spans="1:21" ht="30.6">
      <c r="A1058" s="6">
        <v>43441.593842592592</v>
      </c>
      <c r="B1058" s="7" t="str">
        <f>HYPERLINK("https://twitter.com/COPE","@COPE")</f>
        <v>@COPE</v>
      </c>
      <c r="C1058" s="8" t="s">
        <v>551</v>
      </c>
      <c r="D1058" s="9" t="s">
        <v>3998</v>
      </c>
      <c r="E1058" s="10" t="str">
        <f>HYPERLINK("https://twitter.com/COPE/status/1071030348094627840","1071030348094627840")</f>
        <v>1071030348094627840</v>
      </c>
      <c r="F1058" s="11" t="s">
        <v>3999</v>
      </c>
      <c r="G1058" s="12"/>
      <c r="H1058" s="12"/>
      <c r="I1058" s="13">
        <v>2</v>
      </c>
      <c r="J1058" s="13">
        <v>2</v>
      </c>
      <c r="K1058" s="14" t="str">
        <f>HYPERLINK("http://dogtrack.es","DogTrack_Oficial")</f>
        <v>DogTrack_Oficial</v>
      </c>
      <c r="L1058" s="13">
        <v>354194</v>
      </c>
      <c r="M1058" s="13">
        <v>150</v>
      </c>
      <c r="N1058" s="13">
        <v>3095</v>
      </c>
      <c r="O1058" s="18" t="s">
        <v>41</v>
      </c>
      <c r="P1058" s="6">
        <v>39381.538321759261</v>
      </c>
      <c r="Q1058" s="16" t="s">
        <v>26</v>
      </c>
      <c r="R1058" s="17" t="s">
        <v>552</v>
      </c>
      <c r="S1058" s="11" t="s">
        <v>553</v>
      </c>
      <c r="T1058" s="12"/>
      <c r="U1058" s="10" t="str">
        <f>HYPERLINK("https://pbs.twimg.com/profile_images/1063097716031533059/yAe1j-56.jpg","View")</f>
        <v>View</v>
      </c>
    </row>
    <row r="1059" spans="1:21" ht="30.6">
      <c r="A1059" s="6">
        <v>43441.593784722223</v>
      </c>
      <c r="B1059" s="7" t="str">
        <f>HYPERLINK("https://twitter.com/RealMadridHoy","@RealMadridHoy")</f>
        <v>@RealMadridHoy</v>
      </c>
      <c r="C1059" s="8" t="s">
        <v>4000</v>
      </c>
      <c r="D1059" s="9" t="s">
        <v>4001</v>
      </c>
      <c r="E1059" s="10" t="str">
        <f>HYPERLINK("https://twitter.com/RealMadridHoy/status/1071030329455071232","1071030329455071232")</f>
        <v>1071030329455071232</v>
      </c>
      <c r="F1059" s="12"/>
      <c r="G1059" s="12"/>
      <c r="H1059" s="12"/>
      <c r="I1059" s="13">
        <v>0</v>
      </c>
      <c r="J1059" s="13">
        <v>0</v>
      </c>
      <c r="K1059" s="14" t="str">
        <f>HYPERLINK("http://www.debaterm.com","Real Madrid Hoy")</f>
        <v>Real Madrid Hoy</v>
      </c>
      <c r="L1059" s="13">
        <v>1903</v>
      </c>
      <c r="M1059" s="13">
        <v>38</v>
      </c>
      <c r="N1059" s="13">
        <v>46</v>
      </c>
      <c r="O1059" s="15"/>
      <c r="P1059" s="6">
        <v>40424.800196759257</v>
      </c>
      <c r="Q1059" s="16" t="s">
        <v>200</v>
      </c>
      <c r="R1059" s="17" t="s">
        <v>4002</v>
      </c>
      <c r="S1059" s="11" t="s">
        <v>4003</v>
      </c>
      <c r="T1059" s="12"/>
      <c r="U1059" s="10" t="str">
        <f>HYPERLINK("https://pbs.twimg.com/profile_images/570630602227863552/5qULL0Pp.png","View")</f>
        <v>View</v>
      </c>
    </row>
    <row r="1060" spans="1:21" ht="20.399999999999999">
      <c r="A1060" s="6">
        <v>43441.59375</v>
      </c>
      <c r="B1060" s="7" t="str">
        <f>HYPERLINK("https://twitter.com/DeporteslaSexta","@DeporteslaSexta")</f>
        <v>@DeporteslaSexta</v>
      </c>
      <c r="C1060" s="8" t="s">
        <v>4004</v>
      </c>
      <c r="D1060" s="9" t="s">
        <v>1931</v>
      </c>
      <c r="E1060" s="10" t="str">
        <f>HYPERLINK("https://twitter.com/DeporteslaSexta/status/1071030315697754112","1071030315697754112")</f>
        <v>1071030315697754112</v>
      </c>
      <c r="F1060" s="11" t="s">
        <v>4005</v>
      </c>
      <c r="G1060" s="12"/>
      <c r="H1060" s="12"/>
      <c r="I1060" s="13">
        <v>0</v>
      </c>
      <c r="J1060" s="13">
        <v>0</v>
      </c>
      <c r="K1060" s="14" t="str">
        <f>HYPERLINK("http://dogtrack.es","DogTrack_Oficial")</f>
        <v>DogTrack_Oficial</v>
      </c>
      <c r="L1060" s="13">
        <v>29722</v>
      </c>
      <c r="M1060" s="13">
        <v>419</v>
      </c>
      <c r="N1060" s="13">
        <v>327</v>
      </c>
      <c r="O1060" s="18" t="s">
        <v>41</v>
      </c>
      <c r="P1060" s="6">
        <v>41373.629351851851</v>
      </c>
      <c r="Q1060" s="12"/>
      <c r="R1060" s="17" t="s">
        <v>4006</v>
      </c>
      <c r="S1060" s="11" t="s">
        <v>4007</v>
      </c>
      <c r="T1060" s="12"/>
      <c r="U1060" s="10" t="str">
        <f>HYPERLINK("https://pbs.twimg.com/profile_images/1061873385964257281/568H3h7P.jpg","View")</f>
        <v>View</v>
      </c>
    </row>
    <row r="1061" spans="1:21" ht="40.799999999999997">
      <c r="A1061" s="6">
        <v>43441.593657407408</v>
      </c>
      <c r="B1061" s="7" t="str">
        <f>HYPERLINK("https://twitter.com/frdelatorre","@frdelatorre")</f>
        <v>@frdelatorre</v>
      </c>
      <c r="C1061" s="8" t="s">
        <v>4008</v>
      </c>
      <c r="D1061" s="9" t="s">
        <v>4009</v>
      </c>
      <c r="E1061" s="10" t="str">
        <f>HYPERLINK("https://twitter.com/frdelatorre/status/1071030282998951936","1071030282998951936")</f>
        <v>1071030282998951936</v>
      </c>
      <c r="F1061" s="11" t="s">
        <v>1760</v>
      </c>
      <c r="G1061" s="12"/>
      <c r="H1061" s="12"/>
      <c r="I1061" s="13">
        <v>110</v>
      </c>
      <c r="J1061" s="13">
        <v>104</v>
      </c>
      <c r="K1061" s="14" t="str">
        <f>HYPERLINK("http://twitter.com","Twitter Web Client")</f>
        <v>Twitter Web Client</v>
      </c>
      <c r="L1061" s="13">
        <v>10764</v>
      </c>
      <c r="M1061" s="13">
        <v>1426</v>
      </c>
      <c r="N1061" s="13">
        <v>296</v>
      </c>
      <c r="O1061" s="18" t="s">
        <v>41</v>
      </c>
      <c r="P1061" s="6">
        <v>40447.978564814817</v>
      </c>
      <c r="Q1061" s="16" t="s">
        <v>4010</v>
      </c>
      <c r="R1061" s="17" t="s">
        <v>4011</v>
      </c>
      <c r="S1061" s="11" t="s">
        <v>4012</v>
      </c>
      <c r="T1061" s="12"/>
      <c r="U1061" s="10" t="str">
        <f>HYPERLINK("https://pbs.twimg.com/profile_images/599551685191696385/3biHMXKS.jpg","View")</f>
        <v>View</v>
      </c>
    </row>
    <row r="1062" spans="1:21" ht="51">
      <c r="A1062" s="6">
        <v>43441.593171296292</v>
      </c>
      <c r="B1062" s="7" t="str">
        <f>HYPERLINK("https://twitter.com/veolinares","@veolinares")</f>
        <v>@veolinares</v>
      </c>
      <c r="C1062" s="8" t="s">
        <v>4013</v>
      </c>
      <c r="D1062" s="9" t="s">
        <v>4014</v>
      </c>
      <c r="E1062" s="10" t="str">
        <f>HYPERLINK("https://twitter.com/veolinares/status/1071030103688339457","1071030103688339457")</f>
        <v>1071030103688339457</v>
      </c>
      <c r="F1062" s="11" t="s">
        <v>4015</v>
      </c>
      <c r="G1062" s="12"/>
      <c r="H1062" s="12"/>
      <c r="I1062" s="13">
        <v>0</v>
      </c>
      <c r="J1062" s="13">
        <v>1</v>
      </c>
      <c r="K1062" s="14" t="str">
        <f>HYPERLINK("http://www.facebook.com/twitter","Facebook")</f>
        <v>Facebook</v>
      </c>
      <c r="L1062" s="13">
        <v>2025</v>
      </c>
      <c r="M1062" s="13">
        <v>2255</v>
      </c>
      <c r="N1062" s="13">
        <v>8</v>
      </c>
      <c r="O1062" s="15"/>
      <c r="P1062" s="6">
        <v>41366.503425925926</v>
      </c>
      <c r="Q1062" s="16" t="s">
        <v>2342</v>
      </c>
      <c r="R1062" s="17" t="s">
        <v>4016</v>
      </c>
      <c r="S1062" s="11" t="s">
        <v>4017</v>
      </c>
      <c r="T1062" s="12"/>
      <c r="U1062" s="10" t="str">
        <f>HYPERLINK("https://pbs.twimg.com/profile_images/3466984735/46b07abc49cb3c04406b5022b85c75aa.jpeg","View")</f>
        <v>View</v>
      </c>
    </row>
    <row r="1063" spans="1:21" ht="13.2">
      <c r="A1063" s="6">
        <v>43441.591539351852</v>
      </c>
      <c r="B1063" s="7" t="str">
        <f>HYPERLINK("https://twitter.com/NEWSANTANDER","@NEWSANTANDER")</f>
        <v>@NEWSANTANDER</v>
      </c>
      <c r="C1063" s="8" t="s">
        <v>384</v>
      </c>
      <c r="D1063" s="9" t="s">
        <v>4018</v>
      </c>
      <c r="E1063" s="10" t="str">
        <f>HYPERLINK("https://twitter.com/NEWSANTANDER/status/1071029512773632001","1071029512773632001")</f>
        <v>1071029512773632001</v>
      </c>
      <c r="F1063" s="11" t="s">
        <v>4019</v>
      </c>
      <c r="G1063" s="11" t="s">
        <v>4020</v>
      </c>
      <c r="H1063" s="12"/>
      <c r="I1063" s="13">
        <v>0</v>
      </c>
      <c r="J1063" s="13">
        <v>0</v>
      </c>
      <c r="K1063" s="14" t="str">
        <f t="shared" ref="K1063:K1064" si="181">HYPERLINK("http://publicize.wp.com/","WordPress.com")</f>
        <v>WordPress.com</v>
      </c>
      <c r="L1063" s="13">
        <v>2719</v>
      </c>
      <c r="M1063" s="13">
        <v>2678</v>
      </c>
      <c r="N1063" s="13">
        <v>22</v>
      </c>
      <c r="O1063" s="15"/>
      <c r="P1063" s="6">
        <v>42254.827662037038</v>
      </c>
      <c r="Q1063" s="12"/>
      <c r="R1063" s="19"/>
      <c r="S1063" s="12"/>
      <c r="T1063" s="12"/>
      <c r="U1063" s="10" t="str">
        <f>HYPERLINK("https://pbs.twimg.com/profile_images/640946719002361856/uwfBU4CB.jpg","View")</f>
        <v>View</v>
      </c>
    </row>
    <row r="1064" spans="1:21" ht="13.2">
      <c r="A1064" s="6">
        <v>43441.590451388889</v>
      </c>
      <c r="B1064" s="7" t="str">
        <f>HYPERLINK("https://twitter.com/viajandoperdido","@viajandoperdido")</f>
        <v>@viajandoperdido</v>
      </c>
      <c r="C1064" s="8" t="s">
        <v>4021</v>
      </c>
      <c r="D1064" s="9" t="s">
        <v>4018</v>
      </c>
      <c r="E1064" s="10" t="str">
        <f>HYPERLINK("https://twitter.com/viajandoperdido/status/1071029120337891328","1071029120337891328")</f>
        <v>1071029120337891328</v>
      </c>
      <c r="F1064" s="11" t="s">
        <v>4022</v>
      </c>
      <c r="G1064" s="11" t="s">
        <v>4023</v>
      </c>
      <c r="H1064" s="12"/>
      <c r="I1064" s="13">
        <v>0</v>
      </c>
      <c r="J1064" s="13">
        <v>0</v>
      </c>
      <c r="K1064" s="14" t="str">
        <f t="shared" si="181"/>
        <v>WordPress.com</v>
      </c>
      <c r="L1064" s="13">
        <v>7672</v>
      </c>
      <c r="M1064" s="13">
        <v>8239</v>
      </c>
      <c r="N1064" s="13">
        <v>103</v>
      </c>
      <c r="O1064" s="15"/>
      <c r="P1064" s="6">
        <v>41589.717847222222</v>
      </c>
      <c r="Q1064" s="16" t="s">
        <v>60</v>
      </c>
      <c r="R1064" s="19"/>
      <c r="S1064" s="11" t="s">
        <v>4024</v>
      </c>
      <c r="T1064" s="12"/>
      <c r="U1064" s="10" t="str">
        <f>HYPERLINK("https://pbs.twimg.com/profile_images/671029850833092608/yrYWtyor.jpg","View")</f>
        <v>View</v>
      </c>
    </row>
    <row r="1065" spans="1:21" ht="40.799999999999997">
      <c r="A1065" s="6">
        <v>43441.58993055555</v>
      </c>
      <c r="B1065" s="7" t="str">
        <f>HYPERLINK("https://twitter.com/linarespp","@linarespp")</f>
        <v>@linarespp</v>
      </c>
      <c r="C1065" s="8" t="s">
        <v>4025</v>
      </c>
      <c r="D1065" s="9" t="s">
        <v>4026</v>
      </c>
      <c r="E1065" s="10" t="str">
        <f>HYPERLINK("https://twitter.com/linarespp/status/1071028931879419904","1071028931879419904")</f>
        <v>1071028931879419904</v>
      </c>
      <c r="F1065" s="12"/>
      <c r="G1065" s="12"/>
      <c r="H1065" s="12"/>
      <c r="I1065" s="13">
        <v>8</v>
      </c>
      <c r="J1065" s="13">
        <v>4</v>
      </c>
      <c r="K1065" s="14" t="str">
        <f>HYPERLINK("http://twitter.com","Twitter Web Client")</f>
        <v>Twitter Web Client</v>
      </c>
      <c r="L1065" s="13">
        <v>1131</v>
      </c>
      <c r="M1065" s="13">
        <v>418</v>
      </c>
      <c r="N1065" s="13">
        <v>15</v>
      </c>
      <c r="O1065" s="15"/>
      <c r="P1065" s="6">
        <v>41383.701284722221</v>
      </c>
      <c r="Q1065" s="12"/>
      <c r="R1065" s="17" t="s">
        <v>4027</v>
      </c>
      <c r="S1065" s="12"/>
      <c r="T1065" s="12"/>
      <c r="U1065" s="10" t="str">
        <f>HYPERLINK("https://pbs.twimg.com/profile_images/661527575236362240/i24ZDtdN.jpg","View")</f>
        <v>View</v>
      </c>
    </row>
    <row r="1066" spans="1:21" ht="51">
      <c r="A1066" s="6">
        <v>43441.589768518519</v>
      </c>
      <c r="B1066" s="7" t="str">
        <f>HYPERLINK("https://twitter.com/RaulBator","@RaulBator")</f>
        <v>@RaulBator</v>
      </c>
      <c r="C1066" s="8" t="s">
        <v>4028</v>
      </c>
      <c r="D1066" s="9" t="s">
        <v>4029</v>
      </c>
      <c r="E1066" s="10" t="str">
        <f>HYPERLINK("https://twitter.com/RaulBator/status/1071028873649942530","1071028873649942530")</f>
        <v>1071028873649942530</v>
      </c>
      <c r="F1066" s="11" t="s">
        <v>4030</v>
      </c>
      <c r="G1066" s="12"/>
      <c r="H1066" s="12"/>
      <c r="I1066" s="13">
        <v>0</v>
      </c>
      <c r="J1066" s="13">
        <v>0</v>
      </c>
      <c r="K1066" s="14" t="str">
        <f>HYPERLINK("http://twitter.com/download/iphone","Twitter for iPhone")</f>
        <v>Twitter for iPhone</v>
      </c>
      <c r="L1066" s="13">
        <v>2037</v>
      </c>
      <c r="M1066" s="13">
        <v>1119</v>
      </c>
      <c r="N1066" s="13">
        <v>6</v>
      </c>
      <c r="O1066" s="15"/>
      <c r="P1066" s="6">
        <v>42395.336134259254</v>
      </c>
      <c r="Q1066" s="16" t="s">
        <v>4031</v>
      </c>
      <c r="R1066" s="17" t="s">
        <v>4032</v>
      </c>
      <c r="S1066" s="12"/>
      <c r="T1066" s="12"/>
      <c r="U1066" s="10" t="str">
        <f>HYPERLINK("https://pbs.twimg.com/profile_images/698176238159060992/IzjAQ4LA.jpg","View")</f>
        <v>View</v>
      </c>
    </row>
    <row r="1067" spans="1:21" ht="20.399999999999999">
      <c r="A1067" s="6">
        <v>43441.58966435185</v>
      </c>
      <c r="B1067" s="7" t="str">
        <f>HYPERLINK("https://twitter.com/RadioUnionTfe","@RadioUnionTfe")</f>
        <v>@RadioUnionTfe</v>
      </c>
      <c r="C1067" s="8" t="s">
        <v>4033</v>
      </c>
      <c r="D1067" s="9" t="s">
        <v>4034</v>
      </c>
      <c r="E1067" s="10" t="str">
        <f>HYPERLINK("https://twitter.com/RadioUnionTfe/status/1071028834785525760","1071028834785525760")</f>
        <v>1071028834785525760</v>
      </c>
      <c r="F1067" s="11" t="s">
        <v>4035</v>
      </c>
      <c r="G1067" s="12"/>
      <c r="H1067" s="12"/>
      <c r="I1067" s="13">
        <v>0</v>
      </c>
      <c r="J1067" s="13">
        <v>0</v>
      </c>
      <c r="K1067" s="14" t="str">
        <f>HYPERLINK("http://twitter.com/download/android","Twitter for Android")</f>
        <v>Twitter for Android</v>
      </c>
      <c r="L1067" s="13">
        <v>170</v>
      </c>
      <c r="M1067" s="13">
        <v>63</v>
      </c>
      <c r="N1067" s="13">
        <v>1</v>
      </c>
      <c r="O1067" s="15"/>
      <c r="P1067" s="6">
        <v>40749.728564814817</v>
      </c>
      <c r="Q1067" s="12"/>
      <c r="R1067" s="19"/>
      <c r="S1067" s="12"/>
      <c r="T1067" s="12"/>
      <c r="U1067" s="10" t="str">
        <f>HYPERLINK("https://pbs.twimg.com/profile_images/912725003900211200/tvZWR99g.jpg","View")</f>
        <v>View</v>
      </c>
    </row>
    <row r="1068" spans="1:21" ht="71.400000000000006">
      <c r="A1068" s="6">
        <v>43441.589155092588</v>
      </c>
      <c r="B1068" s="7" t="str">
        <f>HYPERLINK("https://twitter.com/dani3pa_","@dani3pa_")</f>
        <v>@dani3pa_</v>
      </c>
      <c r="C1068" s="8" t="s">
        <v>4036</v>
      </c>
      <c r="D1068" s="9" t="s">
        <v>4037</v>
      </c>
      <c r="E1068" s="10" t="str">
        <f>HYPERLINK("https://twitter.com/dani3pa_/status/1071028651255312384","1071028651255312384")</f>
        <v>1071028651255312384</v>
      </c>
      <c r="F1068" s="11" t="s">
        <v>4038</v>
      </c>
      <c r="G1068" s="11" t="s">
        <v>4039</v>
      </c>
      <c r="H1068" s="12"/>
      <c r="I1068" s="13">
        <v>0</v>
      </c>
      <c r="J1068" s="13">
        <v>0</v>
      </c>
      <c r="K1068" s="14" t="str">
        <f t="shared" ref="K1068:K1069" si="182">HYPERLINK("http://twitter.com","Twitter Web Client")</f>
        <v>Twitter Web Client</v>
      </c>
      <c r="L1068" s="13">
        <v>252</v>
      </c>
      <c r="M1068" s="13">
        <v>395</v>
      </c>
      <c r="N1068" s="13">
        <v>2</v>
      </c>
      <c r="O1068" s="15"/>
      <c r="P1068" s="6">
        <v>40872.808865740742</v>
      </c>
      <c r="Q1068" s="16" t="s">
        <v>4040</v>
      </c>
      <c r="R1068" s="17" t="s">
        <v>4041</v>
      </c>
      <c r="S1068" s="11" t="s">
        <v>4042</v>
      </c>
      <c r="T1068" s="12"/>
      <c r="U1068" s="10" t="str">
        <f>HYPERLINK("https://pbs.twimg.com/profile_images/1070607444680863744/IbMeBljJ.jpg","View")</f>
        <v>View</v>
      </c>
    </row>
    <row r="1069" spans="1:21" ht="30.6">
      <c r="A1069" s="6">
        <v>43441.588576388887</v>
      </c>
      <c r="B1069" s="7" t="str">
        <f>HYPERLINK("https://twitter.com/ldpsincomplejos","@ldpsincomplejos")</f>
        <v>@ldpsincomplejos</v>
      </c>
      <c r="C1069" s="8" t="s">
        <v>4043</v>
      </c>
      <c r="D1069" s="9" t="s">
        <v>4044</v>
      </c>
      <c r="E1069" s="10" t="str">
        <f>HYPERLINK("https://twitter.com/ldpsincomplejos/status/1071028439472357376","1071028439472357376")</f>
        <v>1071028439472357376</v>
      </c>
      <c r="F1069" s="11" t="s">
        <v>2954</v>
      </c>
      <c r="G1069" s="12"/>
      <c r="H1069" s="12"/>
      <c r="I1069" s="13">
        <v>219</v>
      </c>
      <c r="J1069" s="13">
        <v>273</v>
      </c>
      <c r="K1069" s="14" t="str">
        <f t="shared" si="182"/>
        <v>Twitter Web Client</v>
      </c>
      <c r="L1069" s="13">
        <v>110881</v>
      </c>
      <c r="M1069" s="13">
        <v>2643</v>
      </c>
      <c r="N1069" s="13">
        <v>1069</v>
      </c>
      <c r="O1069" s="18" t="s">
        <v>41</v>
      </c>
      <c r="P1069" s="6">
        <v>40566.777245370373</v>
      </c>
      <c r="Q1069" s="16" t="s">
        <v>200</v>
      </c>
      <c r="R1069" s="17" t="s">
        <v>4045</v>
      </c>
      <c r="S1069" s="11" t="s">
        <v>4046</v>
      </c>
      <c r="T1069" s="12"/>
      <c r="U1069" s="10" t="str">
        <f>HYPERLINK("https://pbs.twimg.com/profile_images/1007677959245828097/i-2yAFvg.jpg","View")</f>
        <v>View</v>
      </c>
    </row>
    <row r="1070" spans="1:21" ht="40.799999999999997">
      <c r="A1070" s="6">
        <v>43441.587696759263</v>
      </c>
      <c r="B1070" s="7" t="str">
        <f>HYPERLINK("https://twitter.com/mariaquilezv","@mariaquilezv")</f>
        <v>@mariaquilezv</v>
      </c>
      <c r="C1070" s="8" t="s">
        <v>4047</v>
      </c>
      <c r="D1070" s="9" t="s">
        <v>4048</v>
      </c>
      <c r="E1070" s="10" t="str">
        <f>HYPERLINK("https://twitter.com/mariaquilezv/status/1071028120415821825","1071028120415821825")</f>
        <v>1071028120415821825</v>
      </c>
      <c r="F1070" s="12"/>
      <c r="G1070" s="11" t="s">
        <v>4049</v>
      </c>
      <c r="H1070" s="12"/>
      <c r="I1070" s="13">
        <v>3</v>
      </c>
      <c r="J1070" s="13">
        <v>4</v>
      </c>
      <c r="K1070" s="14" t="str">
        <f>HYPERLINK("http://twitter.com/download/iphone","Twitter for iPhone")</f>
        <v>Twitter for iPhone</v>
      </c>
      <c r="L1070" s="13">
        <v>2590</v>
      </c>
      <c r="M1070" s="13">
        <v>855</v>
      </c>
      <c r="N1070" s="13">
        <v>23</v>
      </c>
      <c r="O1070" s="15"/>
      <c r="P1070" s="6">
        <v>41183.603726851856</v>
      </c>
      <c r="Q1070" s="16" t="s">
        <v>230</v>
      </c>
      <c r="R1070" s="17" t="s">
        <v>4050</v>
      </c>
      <c r="S1070" s="11" t="s">
        <v>4051</v>
      </c>
      <c r="T1070" s="12"/>
      <c r="U1070" s="10" t="str">
        <f>HYPERLINK("https://pbs.twimg.com/profile_images/1070040363107258374/fSqyQDH7.jpg","View")</f>
        <v>View</v>
      </c>
    </row>
    <row r="1071" spans="1:21" ht="40.799999999999997">
      <c r="A1071" s="6">
        <v>43441.587395833332</v>
      </c>
      <c r="B1071" s="7" t="str">
        <f>HYPERLINK("https://twitter.com/anfaga1955","@anfaga1955")</f>
        <v>@anfaga1955</v>
      </c>
      <c r="C1071" s="8" t="s">
        <v>4052</v>
      </c>
      <c r="D1071" s="9" t="s">
        <v>4053</v>
      </c>
      <c r="E1071" s="10" t="str">
        <f>HYPERLINK("https://twitter.com/anfaga1955/status/1071028014081851392","1071028014081851392")</f>
        <v>1071028014081851392</v>
      </c>
      <c r="F1071" s="16" t="s">
        <v>4054</v>
      </c>
      <c r="G1071" s="12"/>
      <c r="H1071" s="12"/>
      <c r="I1071" s="13">
        <v>0</v>
      </c>
      <c r="J1071" s="13">
        <v>0</v>
      </c>
      <c r="K1071" s="14" t="str">
        <f>HYPERLINK("http://twitter.com","Twitter Web Client")</f>
        <v>Twitter Web Client</v>
      </c>
      <c r="L1071" s="13">
        <v>2659</v>
      </c>
      <c r="M1071" s="13">
        <v>2459</v>
      </c>
      <c r="N1071" s="13">
        <v>8</v>
      </c>
      <c r="O1071" s="15"/>
      <c r="P1071" s="6">
        <v>42912.589340277773</v>
      </c>
      <c r="Q1071" s="16" t="s">
        <v>45</v>
      </c>
      <c r="R1071" s="17" t="s">
        <v>4055</v>
      </c>
      <c r="S1071" s="12"/>
      <c r="T1071" s="12"/>
      <c r="U1071" s="10" t="str">
        <f>HYPERLINK("https://pbs.twimg.com/profile_images/960918821673623553/zZPdLymV.jpg","View")</f>
        <v>View</v>
      </c>
    </row>
    <row r="1072" spans="1:21" ht="13.2">
      <c r="A1072" s="6">
        <v>43441.587222222224</v>
      </c>
      <c r="B1072" s="7" t="str">
        <f>HYPERLINK("https://twitter.com/_vaina_","@_vaina_")</f>
        <v>@_vaina_</v>
      </c>
      <c r="C1072" s="8" t="s">
        <v>4056</v>
      </c>
      <c r="D1072" s="9" t="s">
        <v>4018</v>
      </c>
      <c r="E1072" s="10" t="str">
        <f>HYPERLINK("https://twitter.com/_vaina_/status/1071027949170757633","1071027949170757633")</f>
        <v>1071027949170757633</v>
      </c>
      <c r="F1072" s="11" t="s">
        <v>4057</v>
      </c>
      <c r="G1072" s="12"/>
      <c r="H1072" s="12"/>
      <c r="I1072" s="13">
        <v>0</v>
      </c>
      <c r="J1072" s="13">
        <v>0</v>
      </c>
      <c r="K1072" s="14" t="str">
        <f>HYPERLINK("https://ifttt.com","IFTTT")</f>
        <v>IFTTT</v>
      </c>
      <c r="L1072" s="13">
        <v>864</v>
      </c>
      <c r="M1072" s="13">
        <v>390</v>
      </c>
      <c r="N1072" s="13">
        <v>72</v>
      </c>
      <c r="O1072" s="15"/>
      <c r="P1072" s="6">
        <v>40969.870717592596</v>
      </c>
      <c r="Q1072" s="12"/>
      <c r="R1072" s="17" t="s">
        <v>4058</v>
      </c>
      <c r="S1072" s="12"/>
      <c r="T1072" s="12"/>
      <c r="U1072" s="10" t="str">
        <f>HYPERLINK("https://pbs.twimg.com/profile_images/857339023702077441/EK0jkB2H.jpg","View")</f>
        <v>View</v>
      </c>
    </row>
    <row r="1073" spans="1:21" ht="13.2">
      <c r="A1073" s="6">
        <v>43441.587025462963</v>
      </c>
      <c r="B1073" s="7" t="str">
        <f>HYPERLINK("https://twitter.com/NEWSANTANDER","@NEWSANTANDER")</f>
        <v>@NEWSANTANDER</v>
      </c>
      <c r="C1073" s="8" t="s">
        <v>384</v>
      </c>
      <c r="D1073" s="9" t="s">
        <v>4018</v>
      </c>
      <c r="E1073" s="10" t="str">
        <f>HYPERLINK("https://twitter.com/NEWSANTANDER/status/1071027876294770688","1071027876294770688")</f>
        <v>1071027876294770688</v>
      </c>
      <c r="F1073" s="11" t="s">
        <v>4059</v>
      </c>
      <c r="G1073" s="11" t="s">
        <v>4060</v>
      </c>
      <c r="H1073" s="12"/>
      <c r="I1073" s="13">
        <v>0</v>
      </c>
      <c r="J1073" s="13">
        <v>0</v>
      </c>
      <c r="K1073" s="14" t="str">
        <f>HYPERLINK("http://publicize.wp.com/","WordPress.com")</f>
        <v>WordPress.com</v>
      </c>
      <c r="L1073" s="13">
        <v>2719</v>
      </c>
      <c r="M1073" s="13">
        <v>2678</v>
      </c>
      <c r="N1073" s="13">
        <v>22</v>
      </c>
      <c r="O1073" s="15"/>
      <c r="P1073" s="6">
        <v>42254.827662037038</v>
      </c>
      <c r="Q1073" s="12"/>
      <c r="R1073" s="19"/>
      <c r="S1073" s="12"/>
      <c r="T1073" s="12"/>
      <c r="U1073" s="10" t="str">
        <f>HYPERLINK("https://pbs.twimg.com/profile_images/640946719002361856/uwfBU4CB.jpg","View")</f>
        <v>View</v>
      </c>
    </row>
    <row r="1074" spans="1:21" ht="20.399999999999999">
      <c r="A1074" s="6">
        <v>43441.586805555555</v>
      </c>
      <c r="B1074" s="7" t="str">
        <f>HYPERLINK("https://twitter.com/Antena3Deportes","@Antena3Deportes")</f>
        <v>@Antena3Deportes</v>
      </c>
      <c r="C1074" s="8" t="s">
        <v>4061</v>
      </c>
      <c r="D1074" s="9" t="s">
        <v>4062</v>
      </c>
      <c r="E1074" s="10" t="str">
        <f>HYPERLINK("https://twitter.com/Antena3Deportes/status/1071027798213619712","1071027798213619712")</f>
        <v>1071027798213619712</v>
      </c>
      <c r="F1074" s="11" t="s">
        <v>4063</v>
      </c>
      <c r="G1074" s="12"/>
      <c r="H1074" s="12"/>
      <c r="I1074" s="13">
        <v>1</v>
      </c>
      <c r="J1074" s="13">
        <v>1</v>
      </c>
      <c r="K1074" s="14" t="str">
        <f>HYPERLINK("http://dogtrack.es","DogTrack_Oficial")</f>
        <v>DogTrack_Oficial</v>
      </c>
      <c r="L1074" s="13">
        <v>4063</v>
      </c>
      <c r="M1074" s="13">
        <v>174</v>
      </c>
      <c r="N1074" s="13">
        <v>23</v>
      </c>
      <c r="O1074" s="15"/>
      <c r="P1074" s="6">
        <v>41373.881099537037</v>
      </c>
      <c r="Q1074" s="16" t="s">
        <v>4064</v>
      </c>
      <c r="R1074" s="17" t="s">
        <v>4065</v>
      </c>
      <c r="S1074" s="11" t="s">
        <v>4066</v>
      </c>
      <c r="T1074" s="12"/>
      <c r="U1074" s="10" t="str">
        <f>HYPERLINK("https://pbs.twimg.com/profile_images/1047425145663574018/yDs1wv0q.jpg","View")</f>
        <v>View</v>
      </c>
    </row>
    <row r="1075" spans="1:21" ht="20.399999999999999">
      <c r="A1075" s="6">
        <v>43441.586736111116</v>
      </c>
      <c r="B1075" s="7" t="str">
        <f>HYPERLINK("https://twitter.com/iusport","@iusport")</f>
        <v>@iusport</v>
      </c>
      <c r="C1075" s="8" t="s">
        <v>4068</v>
      </c>
      <c r="D1075" s="9" t="s">
        <v>2092</v>
      </c>
      <c r="E1075" s="10" t="str">
        <f>HYPERLINK("https://twitter.com/iusport/status/1071027774117240833","1071027774117240833")</f>
        <v>1071027774117240833</v>
      </c>
      <c r="F1075" s="11" t="s">
        <v>4070</v>
      </c>
      <c r="G1075" s="11" t="s">
        <v>4071</v>
      </c>
      <c r="H1075" s="12"/>
      <c r="I1075" s="13">
        <v>0</v>
      </c>
      <c r="J1075" s="13">
        <v>0</v>
      </c>
      <c r="K1075" s="14" t="str">
        <f>HYPERLINK("https://dlvrit.com/","dlvr.it")</f>
        <v>dlvr.it</v>
      </c>
      <c r="L1075" s="13">
        <v>14931</v>
      </c>
      <c r="M1075" s="13">
        <v>980</v>
      </c>
      <c r="N1075" s="13">
        <v>230</v>
      </c>
      <c r="O1075" s="15"/>
      <c r="P1075" s="6">
        <v>40455.593587962961</v>
      </c>
      <c r="Q1075" s="16" t="s">
        <v>4072</v>
      </c>
      <c r="R1075" s="17" t="s">
        <v>4073</v>
      </c>
      <c r="S1075" s="11" t="s">
        <v>4074</v>
      </c>
      <c r="T1075" s="12"/>
      <c r="U1075" s="10" t="str">
        <f>HYPERLINK("https://pbs.twimg.com/profile_images/971466467727290369/TPW_6iRF.jpg","View")</f>
        <v>View</v>
      </c>
    </row>
    <row r="1076" spans="1:21" ht="20.399999999999999">
      <c r="A1076" s="6">
        <v>43441.586215277777</v>
      </c>
      <c r="B1076" s="7" t="str">
        <f>HYPERLINK("https://twitter.com/jjohnnyvigo","@jjohnnyvigo")</f>
        <v>@jjohnnyvigo</v>
      </c>
      <c r="C1076" s="8" t="s">
        <v>4075</v>
      </c>
      <c r="D1076" s="9" t="s">
        <v>4076</v>
      </c>
      <c r="E1076" s="10" t="str">
        <f>HYPERLINK("https://twitter.com/jjohnnyvigo/status/1071027583796547585","1071027583796547585")</f>
        <v>1071027583796547585</v>
      </c>
      <c r="F1076" s="12"/>
      <c r="G1076" s="11" t="s">
        <v>4077</v>
      </c>
      <c r="H1076" s="12"/>
      <c r="I1076" s="13">
        <v>0</v>
      </c>
      <c r="J1076" s="13">
        <v>1</v>
      </c>
      <c r="K1076" s="14" t="str">
        <f>HYPERLINK("http://twitter.com","Twitter Web Client")</f>
        <v>Twitter Web Client</v>
      </c>
      <c r="L1076" s="13">
        <v>555</v>
      </c>
      <c r="M1076" s="13">
        <v>630</v>
      </c>
      <c r="N1076" s="13">
        <v>28</v>
      </c>
      <c r="O1076" s="15"/>
      <c r="P1076" s="6">
        <v>41349.461759259255</v>
      </c>
      <c r="Q1076" s="16" t="s">
        <v>2136</v>
      </c>
      <c r="R1076" s="17" t="s">
        <v>4078</v>
      </c>
      <c r="S1076" s="12"/>
      <c r="T1076" s="12"/>
      <c r="U1076" s="10" t="str">
        <f>HYPERLINK("https://pbs.twimg.com/profile_images/653208345646637056/24hIeME_.jpg","View")</f>
        <v>View</v>
      </c>
    </row>
    <row r="1077" spans="1:21" ht="20.399999999999999">
      <c r="A1077" s="6">
        <v>43441.586145833338</v>
      </c>
      <c r="B1077" s="7" t="str">
        <f>HYPERLINK("https://twitter.com/JuanmaCrevillen","@JuanmaCrevillen")</f>
        <v>@JuanmaCrevillen</v>
      </c>
      <c r="C1077" s="8" t="s">
        <v>2974</v>
      </c>
      <c r="D1077" s="9" t="s">
        <v>4080</v>
      </c>
      <c r="E1077" s="10" t="str">
        <f>HYPERLINK("https://twitter.com/JuanmaCrevillen/status/1071027558572007424","1071027558572007424")</f>
        <v>1071027558572007424</v>
      </c>
      <c r="F1077" s="11" t="s">
        <v>1176</v>
      </c>
      <c r="G1077" s="12"/>
      <c r="H1077" s="12"/>
      <c r="I1077" s="13">
        <v>0</v>
      </c>
      <c r="J1077" s="13">
        <v>0</v>
      </c>
      <c r="K1077" s="14" t="str">
        <f>HYPERLINK("http://twitter.com/download/iphone","Twitter for iPhone")</f>
        <v>Twitter for iPhone</v>
      </c>
      <c r="L1077" s="13">
        <v>148</v>
      </c>
      <c r="M1077" s="13">
        <v>133</v>
      </c>
      <c r="N1077" s="13">
        <v>7</v>
      </c>
      <c r="O1077" s="15"/>
      <c r="P1077" s="6">
        <v>40954.653541666667</v>
      </c>
      <c r="Q1077" s="12"/>
      <c r="R1077" s="17" t="s">
        <v>2976</v>
      </c>
      <c r="S1077" s="12"/>
      <c r="T1077" s="12"/>
      <c r="U1077" s="10" t="str">
        <f>HYPERLINK("https://pbs.twimg.com/profile_images/931093413256101888/MM9SmGHc.jpg","View")</f>
        <v>View</v>
      </c>
    </row>
    <row r="1078" spans="1:21" ht="51">
      <c r="A1078" s="6">
        <v>43441.584421296298</v>
      </c>
      <c r="B1078" s="7" t="str">
        <f>HYPERLINK("https://twitter.com/Chinobi_Ninja","@Chinobi_Ninja")</f>
        <v>@Chinobi_Ninja</v>
      </c>
      <c r="C1078" s="8" t="s">
        <v>4081</v>
      </c>
      <c r="D1078" s="9" t="s">
        <v>4082</v>
      </c>
      <c r="E1078" s="10" t="str">
        <f>HYPERLINK("https://twitter.com/Chinobi_Ninja/status/1071026935302631424","1071026935302631424")</f>
        <v>1071026935302631424</v>
      </c>
      <c r="F1078" s="12"/>
      <c r="G1078" s="12"/>
      <c r="H1078" s="12"/>
      <c r="I1078" s="13">
        <v>2</v>
      </c>
      <c r="J1078" s="13">
        <v>0</v>
      </c>
      <c r="K1078" s="14" t="str">
        <f t="shared" ref="K1078:K1079" si="183">HYPERLINK("http://twitter.com","Twitter Web Client")</f>
        <v>Twitter Web Client</v>
      </c>
      <c r="L1078" s="13">
        <v>3047</v>
      </c>
      <c r="M1078" s="13">
        <v>421</v>
      </c>
      <c r="N1078" s="13">
        <v>39</v>
      </c>
      <c r="O1078" s="15"/>
      <c r="P1078" s="6">
        <v>40365.515324074076</v>
      </c>
      <c r="Q1078" s="16" t="s">
        <v>4083</v>
      </c>
      <c r="R1078" s="17" t="s">
        <v>4084</v>
      </c>
      <c r="S1078" s="11" t="s">
        <v>4085</v>
      </c>
      <c r="T1078" s="12"/>
      <c r="U1078" s="10" t="str">
        <f>HYPERLINK("https://pbs.twimg.com/profile_images/1058003010725576704/V8nkXhsn.jpg","View")</f>
        <v>View</v>
      </c>
    </row>
    <row r="1079" spans="1:21" ht="20.399999999999999">
      <c r="A1079" s="6">
        <v>43441.584178240737</v>
      </c>
      <c r="B1079" s="7" t="str">
        <f>HYPERLINK("https://twitter.com/ppapanol","@ppapanol")</f>
        <v>@ppapanol</v>
      </c>
      <c r="C1079" s="8" t="s">
        <v>1312</v>
      </c>
      <c r="D1079" s="9" t="s">
        <v>3317</v>
      </c>
      <c r="E1079" s="10" t="str">
        <f>HYPERLINK("https://twitter.com/ppapanol/status/1071026844365922304","1071026844365922304")</f>
        <v>1071026844365922304</v>
      </c>
      <c r="F1079" s="11" t="s">
        <v>4086</v>
      </c>
      <c r="G1079" s="12"/>
      <c r="H1079" s="12"/>
      <c r="I1079" s="13">
        <v>7</v>
      </c>
      <c r="J1079" s="13">
        <v>8</v>
      </c>
      <c r="K1079" s="14" t="str">
        <f t="shared" si="183"/>
        <v>Twitter Web Client</v>
      </c>
      <c r="L1079" s="13">
        <v>2046</v>
      </c>
      <c r="M1079" s="13">
        <v>4751</v>
      </c>
      <c r="N1079" s="13">
        <v>14</v>
      </c>
      <c r="O1079" s="15"/>
      <c r="P1079" s="6">
        <v>42334.543576388889</v>
      </c>
      <c r="Q1079" s="12"/>
      <c r="R1079" s="19"/>
      <c r="S1079" s="11" t="s">
        <v>1315</v>
      </c>
      <c r="T1079" s="12"/>
      <c r="U1079" s="10" t="str">
        <f>HYPERLINK("https://pbs.twimg.com/profile_images/669857784943497216/RABWZZ4G.jpg","View")</f>
        <v>View</v>
      </c>
    </row>
    <row r="1080" spans="1:21" ht="40.799999999999997">
      <c r="A1080" s="6">
        <v>43441.584108796298</v>
      </c>
      <c r="B1080" s="7" t="str">
        <f>HYPERLINK("https://twitter.com/Pablomsanchezj","@Pablomsanchezj")</f>
        <v>@Pablomsanchezj</v>
      </c>
      <c r="C1080" s="8" t="s">
        <v>4087</v>
      </c>
      <c r="D1080" s="9" t="s">
        <v>4088</v>
      </c>
      <c r="E1080" s="10" t="str">
        <f>HYPERLINK("https://twitter.com/Pablomsanchezj/status/1071026821901225985","1071026821901225985")</f>
        <v>1071026821901225985</v>
      </c>
      <c r="F1080" s="11" t="s">
        <v>4089</v>
      </c>
      <c r="G1080" s="12"/>
      <c r="H1080" s="12"/>
      <c r="I1080" s="13">
        <v>0</v>
      </c>
      <c r="J1080" s="13">
        <v>0</v>
      </c>
      <c r="K1080" s="14" t="str">
        <f>HYPERLINK("http://www.facebook.com/twitter","Facebook")</f>
        <v>Facebook</v>
      </c>
      <c r="L1080" s="13">
        <v>1375</v>
      </c>
      <c r="M1080" s="13">
        <v>1752</v>
      </c>
      <c r="N1080" s="13">
        <v>32</v>
      </c>
      <c r="O1080" s="15"/>
      <c r="P1080" s="6">
        <v>40507.556759259256</v>
      </c>
      <c r="Q1080" s="16" t="s">
        <v>4090</v>
      </c>
      <c r="R1080" s="17" t="s">
        <v>4091</v>
      </c>
      <c r="S1080" s="12"/>
      <c r="T1080" s="12"/>
      <c r="U1080" s="10" t="str">
        <f>HYPERLINK("https://pbs.twimg.com/profile_images/1646564874/images.jpg","View")</f>
        <v>View</v>
      </c>
    </row>
    <row r="1081" spans="1:21" ht="40.799999999999997">
      <c r="A1081" s="6">
        <v>43441.583495370374</v>
      </c>
      <c r="B1081" s="7" t="str">
        <f>HYPERLINK("https://twitter.com/lextresabogados","@lextresabogados")</f>
        <v>@lextresabogados</v>
      </c>
      <c r="C1081" s="8" t="s">
        <v>226</v>
      </c>
      <c r="D1081" s="9" t="s">
        <v>4034</v>
      </c>
      <c r="E1081" s="10" t="str">
        <f>HYPERLINK("https://twitter.com/lextresabogados/status/1071026598382616578","1071026598382616578")</f>
        <v>1071026598382616578</v>
      </c>
      <c r="F1081" s="11" t="s">
        <v>4035</v>
      </c>
      <c r="G1081" s="12"/>
      <c r="H1081" s="12"/>
      <c r="I1081" s="13">
        <v>0</v>
      </c>
      <c r="J1081" s="13">
        <v>0</v>
      </c>
      <c r="K1081" s="14" t="str">
        <f>HYPERLINK("http://35.180.36.179","botize nueva")</f>
        <v>botize nueva</v>
      </c>
      <c r="L1081" s="13">
        <v>2912</v>
      </c>
      <c r="M1081" s="13">
        <v>3525</v>
      </c>
      <c r="N1081" s="13">
        <v>26</v>
      </c>
      <c r="O1081" s="15"/>
      <c r="P1081" s="6">
        <v>42880.770949074074</v>
      </c>
      <c r="Q1081" s="16" t="s">
        <v>230</v>
      </c>
      <c r="R1081" s="17" t="s">
        <v>231</v>
      </c>
      <c r="S1081" s="11" t="s">
        <v>232</v>
      </c>
      <c r="T1081" s="12"/>
      <c r="U1081" s="10" t="str">
        <f>HYPERLINK("https://pbs.twimg.com/profile_images/1068056978679898113/YnjKwiVy.jpg","View")</f>
        <v>View</v>
      </c>
    </row>
    <row r="1082" spans="1:21" ht="40.799999999999997">
      <c r="A1082" s="6">
        <v>43441.583298611113</v>
      </c>
      <c r="B1082" s="7" t="str">
        <f>HYPERLINK("https://twitter.com/Salva_Escudero","@Salva_Escudero")</f>
        <v>@Salva_Escudero</v>
      </c>
      <c r="C1082" s="8" t="s">
        <v>4092</v>
      </c>
      <c r="D1082" s="9" t="s">
        <v>1175</v>
      </c>
      <c r="E1082" s="10" t="str">
        <f>HYPERLINK("https://twitter.com/Salva_Escudero/status/1071026525519179776","1071026525519179776")</f>
        <v>1071026525519179776</v>
      </c>
      <c r="F1082" s="11" t="s">
        <v>1176</v>
      </c>
      <c r="G1082" s="12"/>
      <c r="H1082" s="12"/>
      <c r="I1082" s="13">
        <v>0</v>
      </c>
      <c r="J1082" s="13">
        <v>0</v>
      </c>
      <c r="K1082" s="14" t="str">
        <f t="shared" ref="K1082:K1083" si="184">HYPERLINK("http://twitter.com/download/android","Twitter for Android")</f>
        <v>Twitter for Android</v>
      </c>
      <c r="L1082" s="13">
        <v>10832</v>
      </c>
      <c r="M1082" s="13">
        <v>6868</v>
      </c>
      <c r="N1082" s="13">
        <v>109</v>
      </c>
      <c r="O1082" s="15"/>
      <c r="P1082" s="6">
        <v>41141.672743055555</v>
      </c>
      <c r="Q1082" s="16" t="s">
        <v>4093</v>
      </c>
      <c r="R1082" s="17" t="s">
        <v>4094</v>
      </c>
      <c r="S1082" s="11" t="s">
        <v>4095</v>
      </c>
      <c r="T1082" s="12"/>
      <c r="U1082" s="10" t="str">
        <f>HYPERLINK("https://pbs.twimg.com/profile_images/579803217686601728/2c7qay05.jpg","View")</f>
        <v>View</v>
      </c>
    </row>
    <row r="1083" spans="1:21" ht="13.2">
      <c r="A1083" s="6">
        <v>43441.583055555559</v>
      </c>
      <c r="B1083" s="7" t="str">
        <f>HYPERLINK("https://twitter.com/josecalvogomez","@josecalvogomez")</f>
        <v>@josecalvogomez</v>
      </c>
      <c r="C1083" s="8" t="s">
        <v>283</v>
      </c>
      <c r="D1083" s="9" t="s">
        <v>1175</v>
      </c>
      <c r="E1083" s="10" t="str">
        <f>HYPERLINK("https://twitter.com/josecalvogomez/status/1071026438852235264","1071026438852235264")</f>
        <v>1071026438852235264</v>
      </c>
      <c r="F1083" s="11" t="s">
        <v>1176</v>
      </c>
      <c r="G1083" s="12"/>
      <c r="H1083" s="12"/>
      <c r="I1083" s="13">
        <v>0</v>
      </c>
      <c r="J1083" s="13">
        <v>0</v>
      </c>
      <c r="K1083" s="14" t="str">
        <f t="shared" si="184"/>
        <v>Twitter for Android</v>
      </c>
      <c r="L1083" s="13">
        <v>4141</v>
      </c>
      <c r="M1083" s="13">
        <v>5002</v>
      </c>
      <c r="N1083" s="13">
        <v>25</v>
      </c>
      <c r="O1083" s="15"/>
      <c r="P1083" s="6">
        <v>41325.995289351849</v>
      </c>
      <c r="Q1083" s="12"/>
      <c r="R1083" s="19"/>
      <c r="S1083" s="12"/>
      <c r="T1083" s="12"/>
      <c r="U1083" s="10" t="str">
        <f>HYPERLINK("https://pbs.twimg.com/profile_images/641263832598454272/RFaw01FM.jpg","View")</f>
        <v>View</v>
      </c>
    </row>
    <row r="1084" spans="1:21" ht="40.799999999999997">
      <c r="A1084" s="6">
        <v>43441.582638888889</v>
      </c>
      <c r="B1084" s="7" t="str">
        <f>HYPERLINK("https://twitter.com/Zibelinam","@Zibelinam")</f>
        <v>@Zibelinam</v>
      </c>
      <c r="C1084" s="8" t="s">
        <v>1730</v>
      </c>
      <c r="D1084" s="9" t="s">
        <v>3317</v>
      </c>
      <c r="E1084" s="10" t="str">
        <f>HYPERLINK("https://twitter.com/Zibelinam/status/1071026286913601537","1071026286913601537")</f>
        <v>1071026286913601537</v>
      </c>
      <c r="F1084" s="11" t="s">
        <v>4096</v>
      </c>
      <c r="G1084" s="12"/>
      <c r="H1084" s="12"/>
      <c r="I1084" s="13">
        <v>0</v>
      </c>
      <c r="J1084" s="13">
        <v>1</v>
      </c>
      <c r="K1084" s="14" t="str">
        <f>HYPERLINK("http://twitter.com/download/iphone","Twitter for iPhone")</f>
        <v>Twitter for iPhone</v>
      </c>
      <c r="L1084" s="13">
        <v>4133</v>
      </c>
      <c r="M1084" s="13">
        <v>4055</v>
      </c>
      <c r="N1084" s="13">
        <v>20</v>
      </c>
      <c r="O1084" s="15"/>
      <c r="P1084" s="6">
        <v>41405.65353009259</v>
      </c>
      <c r="Q1084" s="16" t="s">
        <v>1732</v>
      </c>
      <c r="R1084" s="17" t="s">
        <v>1733</v>
      </c>
      <c r="S1084" s="12"/>
      <c r="T1084" s="12"/>
      <c r="U1084" s="10" t="str">
        <f>HYPERLINK("https://pbs.twimg.com/profile_images/929426502416027649/07tvgMQf.jpg","View")</f>
        <v>View</v>
      </c>
    </row>
    <row r="1085" spans="1:21" ht="30.6">
      <c r="A1085" s="6">
        <v>43441.582048611112</v>
      </c>
      <c r="B1085" s="7" t="str">
        <f>HYPERLINK("https://twitter.com/zadava9","@zadava9")</f>
        <v>@zadava9</v>
      </c>
      <c r="C1085" s="8" t="s">
        <v>4097</v>
      </c>
      <c r="D1085" s="9" t="s">
        <v>4098</v>
      </c>
      <c r="E1085" s="10" t="str">
        <f>HYPERLINK("https://twitter.com/zadava9/status/1071026073159303168","1071026073159303168")</f>
        <v>1071026073159303168</v>
      </c>
      <c r="F1085" s="11" t="s">
        <v>576</v>
      </c>
      <c r="G1085" s="12"/>
      <c r="H1085" s="12"/>
      <c r="I1085" s="13">
        <v>0</v>
      </c>
      <c r="J1085" s="13">
        <v>0</v>
      </c>
      <c r="K1085" s="14" t="str">
        <f>HYPERLINK("http://twitter.com/download/android","Twitter for Android")</f>
        <v>Twitter for Android</v>
      </c>
      <c r="L1085" s="13">
        <v>586</v>
      </c>
      <c r="M1085" s="13">
        <v>482</v>
      </c>
      <c r="N1085" s="13">
        <v>12</v>
      </c>
      <c r="O1085" s="15"/>
      <c r="P1085" s="6">
        <v>41358.68246527778</v>
      </c>
      <c r="Q1085" s="12"/>
      <c r="R1085" s="17" t="s">
        <v>4099</v>
      </c>
      <c r="S1085" s="12"/>
      <c r="T1085" s="12"/>
      <c r="U1085" s="10" t="str">
        <f>HYPERLINK("https://pbs.twimg.com/profile_images/757350626917515264/L6W5OxyU.jpg","View")</f>
        <v>View</v>
      </c>
    </row>
    <row r="1086" spans="1:21" ht="51">
      <c r="A1086" s="6">
        <v>43441.58185185185</v>
      </c>
      <c r="B1086" s="7" t="str">
        <f>HYPERLINK("https://twitter.com/Hdad_Expiracion","@Hdad_Expiracion")</f>
        <v>@Hdad_Expiracion</v>
      </c>
      <c r="C1086" s="8" t="s">
        <v>4100</v>
      </c>
      <c r="D1086" s="9" t="s">
        <v>4101</v>
      </c>
      <c r="E1086" s="10" t="str">
        <f>HYPERLINK("https://twitter.com/Hdad_Expiracion/status/1071026004293050368","1071026004293050368")</f>
        <v>1071026004293050368</v>
      </c>
      <c r="F1086" s="12"/>
      <c r="G1086" s="11" t="s">
        <v>4102</v>
      </c>
      <c r="H1086" s="12"/>
      <c r="I1086" s="13">
        <v>2</v>
      </c>
      <c r="J1086" s="13">
        <v>9</v>
      </c>
      <c r="K1086" s="14" t="str">
        <f>HYPERLINK("http://twitter.com/download/iphone","Twitter for iPhone")</f>
        <v>Twitter for iPhone</v>
      </c>
      <c r="L1086" s="13">
        <v>1092</v>
      </c>
      <c r="M1086" s="13">
        <v>0</v>
      </c>
      <c r="N1086" s="13">
        <v>8</v>
      </c>
      <c r="O1086" s="15"/>
      <c r="P1086" s="6">
        <v>41305.452199074076</v>
      </c>
      <c r="Q1086" s="16" t="s">
        <v>3253</v>
      </c>
      <c r="R1086" s="17" t="s">
        <v>4103</v>
      </c>
      <c r="S1086" s="11" t="s">
        <v>4104</v>
      </c>
      <c r="T1086" s="12"/>
      <c r="U1086" s="10" t="str">
        <f>HYPERLINK("https://pbs.twimg.com/profile_images/1053581055452684288/duP5Jq46.jpg","View")</f>
        <v>View</v>
      </c>
    </row>
    <row r="1087" spans="1:21" ht="30.6">
      <c r="A1087" s="6">
        <v>43441.581296296295</v>
      </c>
      <c r="B1087" s="7" t="str">
        <f>HYPERLINK("https://twitter.com/deportesMAD","@deportesMAD")</f>
        <v>@deportesMAD</v>
      </c>
      <c r="C1087" s="8" t="s">
        <v>4105</v>
      </c>
      <c r="D1087" s="9" t="s">
        <v>4106</v>
      </c>
      <c r="E1087" s="10" t="str">
        <f>HYPERLINK("https://twitter.com/deportesMAD/status/1071025800214929410","1071025800214929410")</f>
        <v>1071025800214929410</v>
      </c>
      <c r="F1087" s="11" t="s">
        <v>3173</v>
      </c>
      <c r="G1087" s="11" t="s">
        <v>4107</v>
      </c>
      <c r="H1087" s="12"/>
      <c r="I1087" s="13">
        <v>0</v>
      </c>
      <c r="J1087" s="13">
        <v>1</v>
      </c>
      <c r="K1087" s="14" t="str">
        <f>HYPERLINK("http://www.madridactual.es","Publicar en @DeportesMAD")</f>
        <v>Publicar en @DeportesMAD</v>
      </c>
      <c r="L1087" s="13">
        <v>1160</v>
      </c>
      <c r="M1087" s="13">
        <v>740</v>
      </c>
      <c r="N1087" s="13">
        <v>32</v>
      </c>
      <c r="O1087" s="15"/>
      <c r="P1087" s="6">
        <v>41436.518206018518</v>
      </c>
      <c r="Q1087" s="16" t="s">
        <v>1408</v>
      </c>
      <c r="R1087" s="17" t="s">
        <v>4108</v>
      </c>
      <c r="S1087" s="11" t="s">
        <v>4109</v>
      </c>
      <c r="T1087" s="12"/>
      <c r="U1087" s="10" t="str">
        <f>HYPERLINK("https://pbs.twimg.com/profile_images/378800000797735942/fb3ce835b21a90c66091fc5a3d655a59.jpeg","View")</f>
        <v>View</v>
      </c>
    </row>
    <row r="1088" spans="1:21" ht="13.2">
      <c r="A1088" s="6">
        <v>43441.580891203703</v>
      </c>
      <c r="B1088" s="7" t="str">
        <f>HYPERLINK("https://twitter.com/cadenacoperonda","@cadenacoperonda")</f>
        <v>@cadenacoperonda</v>
      </c>
      <c r="C1088" s="8" t="s">
        <v>4110</v>
      </c>
      <c r="D1088" s="9" t="s">
        <v>1175</v>
      </c>
      <c r="E1088" s="10" t="str">
        <f>HYPERLINK("https://twitter.com/cadenacoperonda/status/1071025653443686400","1071025653443686400")</f>
        <v>1071025653443686400</v>
      </c>
      <c r="F1088" s="11" t="s">
        <v>4111</v>
      </c>
      <c r="G1088" s="12"/>
      <c r="H1088" s="12"/>
      <c r="I1088" s="13">
        <v>0</v>
      </c>
      <c r="J1088" s="13">
        <v>0</v>
      </c>
      <c r="K1088" s="14" t="str">
        <f>HYPERLINK("http://www.facebook.com/twitter","Facebook")</f>
        <v>Facebook</v>
      </c>
      <c r="L1088" s="13">
        <v>223</v>
      </c>
      <c r="M1088" s="13">
        <v>679</v>
      </c>
      <c r="N1088" s="13">
        <v>0</v>
      </c>
      <c r="O1088" s="15"/>
      <c r="P1088" s="6">
        <v>43066.342662037037</v>
      </c>
      <c r="Q1088" s="16" t="s">
        <v>4112</v>
      </c>
      <c r="R1088" s="19"/>
      <c r="S1088" s="11" t="s">
        <v>4113</v>
      </c>
      <c r="T1088" s="12"/>
      <c r="U1088" s="10" t="str">
        <f>HYPERLINK("https://pbs.twimg.com/profile_images/966696336660803584/qJIrqVxn.jpg","View")</f>
        <v>View</v>
      </c>
    </row>
    <row r="1089" spans="1:21" ht="40.799999999999997">
      <c r="A1089" s="6">
        <v>43441.580590277779</v>
      </c>
      <c r="B1089" s="7" t="str">
        <f>HYPERLINK("https://twitter.com/revistadeporte","@revistadeporte")</f>
        <v>@revistadeporte</v>
      </c>
      <c r="C1089" s="8" t="s">
        <v>4114</v>
      </c>
      <c r="D1089" s="9" t="s">
        <v>4106</v>
      </c>
      <c r="E1089" s="10" t="str">
        <f>HYPERLINK("https://twitter.com/revistadeporte/status/1071025544404307968","1071025544404307968")</f>
        <v>1071025544404307968</v>
      </c>
      <c r="F1089" s="11" t="s">
        <v>3173</v>
      </c>
      <c r="G1089" s="11" t="s">
        <v>4115</v>
      </c>
      <c r="H1089" s="12"/>
      <c r="I1089" s="13">
        <v>0</v>
      </c>
      <c r="J1089" s="13">
        <v>0</v>
      </c>
      <c r="K1089" s="14" t="str">
        <f>HYPERLINK("http://www.madridactual.es","Twitter Revista Deporte")</f>
        <v>Twitter Revista Deporte</v>
      </c>
      <c r="L1089" s="13">
        <v>1398</v>
      </c>
      <c r="M1089" s="13">
        <v>289</v>
      </c>
      <c r="N1089" s="13">
        <v>35</v>
      </c>
      <c r="O1089" s="15"/>
      <c r="P1089" s="6">
        <v>40427.716168981482</v>
      </c>
      <c r="Q1089" s="16" t="s">
        <v>200</v>
      </c>
      <c r="R1089" s="17" t="s">
        <v>4116</v>
      </c>
      <c r="S1089" s="11" t="s">
        <v>4117</v>
      </c>
      <c r="T1089" s="12"/>
      <c r="U1089" s="10" t="str">
        <f>HYPERLINK("https://pbs.twimg.com/profile_images/448851348386099203/hUZhZdg5.png","View")</f>
        <v>View</v>
      </c>
    </row>
    <row r="1090" spans="1:21" ht="20.399999999999999">
      <c r="A1090" s="6">
        <v>43441.58</v>
      </c>
      <c r="B1090" s="7" t="str">
        <f>HYPERLINK("https://twitter.com/LaVanguardia","@LaVanguardia")</f>
        <v>@LaVanguardia</v>
      </c>
      <c r="C1090" s="8" t="s">
        <v>297</v>
      </c>
      <c r="D1090" s="9" t="s">
        <v>4034</v>
      </c>
      <c r="E1090" s="10" t="str">
        <f>HYPERLINK("https://twitter.com/LaVanguardia/status/1071025331019091968","1071025331019091968")</f>
        <v>1071025331019091968</v>
      </c>
      <c r="F1090" s="11" t="s">
        <v>4035</v>
      </c>
      <c r="G1090" s="12"/>
      <c r="H1090" s="12"/>
      <c r="I1090" s="13">
        <v>1</v>
      </c>
      <c r="J1090" s="13">
        <v>0</v>
      </c>
      <c r="K1090" s="14" t="str">
        <f>HYPERLINK("http://www.lavanguardia.es","App publicación twits DGRID")</f>
        <v>App publicación twits DGRID</v>
      </c>
      <c r="L1090" s="13">
        <v>999506</v>
      </c>
      <c r="M1090" s="13">
        <v>524</v>
      </c>
      <c r="N1090" s="13">
        <v>12587</v>
      </c>
      <c r="O1090" s="18" t="s">
        <v>41</v>
      </c>
      <c r="P1090" s="6">
        <v>40071.664548611108</v>
      </c>
      <c r="Q1090" s="16" t="s">
        <v>85</v>
      </c>
      <c r="R1090" s="17" t="s">
        <v>301</v>
      </c>
      <c r="S1090" s="11" t="s">
        <v>304</v>
      </c>
      <c r="T1090" s="12"/>
      <c r="U1090" s="10" t="str">
        <f>HYPERLINK("https://pbs.twimg.com/profile_images/936873783721320448/6Q97S0pp.jpg","View")</f>
        <v>View</v>
      </c>
    </row>
    <row r="1091" spans="1:21" ht="71.400000000000006">
      <c r="A1091" s="6">
        <v>43441.579791666663</v>
      </c>
      <c r="B1091" s="7" t="str">
        <f>HYPERLINK("https://twitter.com/erboque","@erboque")</f>
        <v>@erboque</v>
      </c>
      <c r="C1091" s="8" t="s">
        <v>4118</v>
      </c>
      <c r="D1091" s="9" t="s">
        <v>4119</v>
      </c>
      <c r="E1091" s="10" t="str">
        <f>HYPERLINK("https://twitter.com/erboque/status/1071025256788344833","1071025256788344833")</f>
        <v>1071025256788344833</v>
      </c>
      <c r="F1091" s="11" t="s">
        <v>4120</v>
      </c>
      <c r="G1091" s="11" t="s">
        <v>4121</v>
      </c>
      <c r="H1091" s="12"/>
      <c r="I1091" s="13">
        <v>18</v>
      </c>
      <c r="J1091" s="13">
        <v>22</v>
      </c>
      <c r="K1091" s="14" t="str">
        <f>HYPERLINK("http://twitter.com/download/android","Twitter for Android")</f>
        <v>Twitter for Android</v>
      </c>
      <c r="L1091" s="13">
        <v>149</v>
      </c>
      <c r="M1091" s="13">
        <v>316</v>
      </c>
      <c r="N1091" s="13">
        <v>0</v>
      </c>
      <c r="O1091" s="15"/>
      <c r="P1091" s="6">
        <v>43014.939212962963</v>
      </c>
      <c r="Q1091" s="12"/>
      <c r="R1091" s="17" t="s">
        <v>4122</v>
      </c>
      <c r="S1091" s="12"/>
      <c r="T1091" s="12"/>
      <c r="U1091" s="10" t="str">
        <f>HYPERLINK("https://pbs.twimg.com/profile_images/1069358901152399361/S2YRm6Lg.jpg","View")</f>
        <v>View</v>
      </c>
    </row>
    <row r="1092" spans="1:21" ht="40.799999999999997">
      <c r="A1092" s="6">
        <v>43441.57885416667</v>
      </c>
      <c r="B1092" s="7" t="str">
        <f>HYPERLINK("https://twitter.com/Cinedeterror","@Cinedeterror")</f>
        <v>@Cinedeterror</v>
      </c>
      <c r="C1092" s="8" t="s">
        <v>4123</v>
      </c>
      <c r="D1092" s="9" t="s">
        <v>4124</v>
      </c>
      <c r="E1092" s="10" t="str">
        <f>HYPERLINK("https://twitter.com/Cinedeterror/status/1071024914847666176","1071024914847666176")</f>
        <v>1071024914847666176</v>
      </c>
      <c r="F1092" s="11" t="s">
        <v>4125</v>
      </c>
      <c r="G1092" s="11" t="s">
        <v>4126</v>
      </c>
      <c r="H1092" s="12"/>
      <c r="I1092" s="13">
        <v>0</v>
      </c>
      <c r="J1092" s="13">
        <v>0</v>
      </c>
      <c r="K1092" s="14" t="str">
        <f>HYPERLINK("https://about.twitter.com/products/tweetdeck","TweetDeck")</f>
        <v>TweetDeck</v>
      </c>
      <c r="L1092" s="13">
        <v>283</v>
      </c>
      <c r="M1092" s="13">
        <v>154</v>
      </c>
      <c r="N1092" s="13">
        <v>20</v>
      </c>
      <c r="O1092" s="15"/>
      <c r="P1092" s="6">
        <v>40527.979641203703</v>
      </c>
      <c r="Q1092" s="16" t="s">
        <v>26</v>
      </c>
      <c r="R1092" s="17" t="s">
        <v>4127</v>
      </c>
      <c r="S1092" s="11" t="s">
        <v>4128</v>
      </c>
      <c r="T1092" s="12"/>
      <c r="U1092" s="10" t="str">
        <f>HYPERLINK("https://pbs.twimg.com/profile_images/2822528026/9e74182f501db0aa87cdc8127fffae8e.jpeg","View")</f>
        <v>View</v>
      </c>
    </row>
    <row r="1093" spans="1:21" ht="30.6">
      <c r="A1093" s="6">
        <v>43441.578611111108</v>
      </c>
      <c r="B1093" s="7" t="str">
        <f>HYPERLINK("https://twitter.com/Antiintermedio","@Antiintermedio")</f>
        <v>@Antiintermedio</v>
      </c>
      <c r="C1093" s="8" t="s">
        <v>4129</v>
      </c>
      <c r="D1093" s="9" t="s">
        <v>4130</v>
      </c>
      <c r="E1093" s="10" t="str">
        <f>HYPERLINK("https://twitter.com/Antiintermedio/status/1071024828830896128","1071024828830896128")</f>
        <v>1071024828830896128</v>
      </c>
      <c r="F1093" s="12"/>
      <c r="G1093" s="12"/>
      <c r="H1093" s="12"/>
      <c r="I1093" s="13">
        <v>25</v>
      </c>
      <c r="J1093" s="13">
        <v>78</v>
      </c>
      <c r="K1093" s="14" t="str">
        <f>HYPERLINK("http://twitter.com/download/iphone","Twitter for iPhone")</f>
        <v>Twitter for iPhone</v>
      </c>
      <c r="L1093" s="13">
        <v>18586</v>
      </c>
      <c r="M1093" s="13">
        <v>453</v>
      </c>
      <c r="N1093" s="13">
        <v>196</v>
      </c>
      <c r="O1093" s="15"/>
      <c r="P1093" s="6">
        <v>41686.038981481484</v>
      </c>
      <c r="Q1093" s="12"/>
      <c r="R1093" s="17" t="s">
        <v>4131</v>
      </c>
      <c r="S1093" s="12"/>
      <c r="T1093" s="12"/>
      <c r="U1093" s="10" t="str">
        <f>HYPERLINK("https://pbs.twimg.com/profile_images/898684538188115969/a1QEwxJV.jpg","View")</f>
        <v>View</v>
      </c>
    </row>
    <row r="1094" spans="1:21" ht="30.6">
      <c r="A1094" s="6">
        <v>43441.578460648147</v>
      </c>
      <c r="B1094" s="7" t="str">
        <f>HYPERLINK("https://twitter.com/TyCSports","@TyCSports")</f>
        <v>@TyCSports</v>
      </c>
      <c r="C1094" s="8" t="s">
        <v>4132</v>
      </c>
      <c r="D1094" s="9" t="s">
        <v>4133</v>
      </c>
      <c r="E1094" s="10" t="str">
        <f>HYPERLINK("https://twitter.com/TyCSports/status/1071024774690803718","1071024774690803718")</f>
        <v>1071024774690803718</v>
      </c>
      <c r="F1094" s="11" t="s">
        <v>4134</v>
      </c>
      <c r="G1094" s="12"/>
      <c r="H1094" s="12"/>
      <c r="I1094" s="13">
        <v>3</v>
      </c>
      <c r="J1094" s="13">
        <v>17</v>
      </c>
      <c r="K1094" s="14" t="str">
        <f>HYPERLINK("http://www.tycsports.com","TyCSports")</f>
        <v>TyCSports</v>
      </c>
      <c r="L1094" s="13">
        <v>1763078</v>
      </c>
      <c r="M1094" s="13">
        <v>165</v>
      </c>
      <c r="N1094" s="13">
        <v>3069</v>
      </c>
      <c r="O1094" s="18" t="s">
        <v>41</v>
      </c>
      <c r="P1094" s="6">
        <v>39654.03230324074</v>
      </c>
      <c r="Q1094" s="12"/>
      <c r="R1094" s="17" t="s">
        <v>4135</v>
      </c>
      <c r="S1094" s="11" t="s">
        <v>4136</v>
      </c>
      <c r="T1094" s="12"/>
      <c r="U1094" s="10" t="str">
        <f>HYPERLINK("https://pbs.twimg.com/profile_images/964166993808158721/jlf9sTeX.jpg","View")</f>
        <v>View</v>
      </c>
    </row>
    <row r="1095" spans="1:21" ht="30.6">
      <c r="A1095" s="6">
        <v>43441.577465277776</v>
      </c>
      <c r="B1095" s="7" t="str">
        <f>HYPERLINK("https://twitter.com/manolinelreal","@manolinelreal")</f>
        <v>@manolinelreal</v>
      </c>
      <c r="C1095" s="8" t="s">
        <v>851</v>
      </c>
      <c r="D1095" s="9" t="s">
        <v>4137</v>
      </c>
      <c r="E1095" s="10" t="str">
        <f>HYPERLINK("https://twitter.com/manolinelreal/status/1071024412751790082","1071024412751790082")</f>
        <v>1071024412751790082</v>
      </c>
      <c r="F1095" s="11" t="s">
        <v>1185</v>
      </c>
      <c r="G1095" s="12"/>
      <c r="H1095" s="12"/>
      <c r="I1095" s="13">
        <v>0</v>
      </c>
      <c r="J1095" s="13">
        <v>0</v>
      </c>
      <c r="K1095" s="14" t="str">
        <f>HYPERLINK("http://twitter.com/download/android","Twitter for Android")</f>
        <v>Twitter for Android</v>
      </c>
      <c r="L1095" s="13">
        <v>2407</v>
      </c>
      <c r="M1095" s="13">
        <v>2338</v>
      </c>
      <c r="N1095" s="13">
        <v>21</v>
      </c>
      <c r="O1095" s="15"/>
      <c r="P1095" s="6">
        <v>41276.882627314815</v>
      </c>
      <c r="Q1095" s="12"/>
      <c r="R1095" s="17" t="s">
        <v>4138</v>
      </c>
      <c r="S1095" s="12"/>
      <c r="T1095" s="12"/>
      <c r="U1095" s="10" t="str">
        <f>HYPERLINK("https://pbs.twimg.com/profile_images/1060287423475867649/Ko1nWlY_.jpg","View")</f>
        <v>View</v>
      </c>
    </row>
    <row r="1096" spans="1:21" ht="30.6">
      <c r="A1096" s="6">
        <v>43441.577083333337</v>
      </c>
      <c r="B1096" s="7" t="str">
        <f>HYPERLINK("https://twitter.com/roslufe","@roslufe")</f>
        <v>@roslufe</v>
      </c>
      <c r="C1096" s="8" t="s">
        <v>4140</v>
      </c>
      <c r="D1096" s="9" t="s">
        <v>1514</v>
      </c>
      <c r="E1096" s="10" t="str">
        <f>HYPERLINK("https://twitter.com/roslufe/status/1071024274381647878","1071024274381647878")</f>
        <v>1071024274381647878</v>
      </c>
      <c r="F1096" s="11" t="s">
        <v>246</v>
      </c>
      <c r="G1096" s="12"/>
      <c r="H1096" s="12"/>
      <c r="I1096" s="13">
        <v>2</v>
      </c>
      <c r="J1096" s="13">
        <v>3</v>
      </c>
      <c r="K1096" s="14" t="str">
        <f>HYPERLINK("http://twitter.com","Twitter Web Client")</f>
        <v>Twitter Web Client</v>
      </c>
      <c r="L1096" s="13">
        <v>1789</v>
      </c>
      <c r="M1096" s="13">
        <v>1687</v>
      </c>
      <c r="N1096" s="13">
        <v>41</v>
      </c>
      <c r="O1096" s="15"/>
      <c r="P1096" s="6">
        <v>41323.41814814815</v>
      </c>
      <c r="Q1096" s="16" t="s">
        <v>4142</v>
      </c>
      <c r="R1096" s="17" t="s">
        <v>4143</v>
      </c>
      <c r="S1096" s="12"/>
      <c r="T1096" s="12"/>
      <c r="U1096" s="10" t="str">
        <f>HYPERLINK("https://pbs.twimg.com/profile_images/666925629556842496/kYYCrBtX.jpg","View")</f>
        <v>View</v>
      </c>
    </row>
    <row r="1097" spans="1:21" ht="20.399999999999999">
      <c r="A1097" s="6">
        <v>43441.57677083333</v>
      </c>
      <c r="B1097" s="7" t="str">
        <f>HYPERLINK("https://twitter.com/diegocruzblog","@diegocruzblog")</f>
        <v>@diegocruzblog</v>
      </c>
      <c r="C1097" s="8" t="s">
        <v>1682</v>
      </c>
      <c r="D1097" s="9" t="s">
        <v>4144</v>
      </c>
      <c r="E1097" s="10" t="str">
        <f>HYPERLINK("https://twitter.com/diegocruzblog/status/1071024163249364992","1071024163249364992")</f>
        <v>1071024163249364992</v>
      </c>
      <c r="F1097" s="11" t="s">
        <v>4145</v>
      </c>
      <c r="G1097" s="12"/>
      <c r="H1097" s="12"/>
      <c r="I1097" s="13">
        <v>0</v>
      </c>
      <c r="J1097" s="13">
        <v>0</v>
      </c>
      <c r="K1097" s="14" t="str">
        <f>HYPERLINK("http://twitter.com/download/android","Twitter for Android")</f>
        <v>Twitter for Android</v>
      </c>
      <c r="L1097" s="13">
        <v>24191</v>
      </c>
      <c r="M1097" s="13">
        <v>22088</v>
      </c>
      <c r="N1097" s="13">
        <v>538</v>
      </c>
      <c r="O1097" s="15"/>
      <c r="P1097" s="6">
        <v>39465.420439814814</v>
      </c>
      <c r="Q1097" s="16" t="s">
        <v>1685</v>
      </c>
      <c r="R1097" s="17" t="s">
        <v>1686</v>
      </c>
      <c r="S1097" s="11" t="s">
        <v>1687</v>
      </c>
      <c r="T1097" s="12"/>
      <c r="U1097" s="10" t="str">
        <f>HYPERLINK("https://pbs.twimg.com/profile_images/957406979936448513/tF4hyXi5.jpg","View")</f>
        <v>View</v>
      </c>
    </row>
    <row r="1098" spans="1:21" ht="30.6">
      <c r="A1098" s="6">
        <v>43441.576539351852</v>
      </c>
      <c r="B1098" s="7" t="str">
        <f>HYPERLINK("https://twitter.com/_infoLibre","@_infoLibre")</f>
        <v>@_infoLibre</v>
      </c>
      <c r="C1098" s="8" t="s">
        <v>2320</v>
      </c>
      <c r="D1098" s="9" t="s">
        <v>2321</v>
      </c>
      <c r="E1098" s="10" t="str">
        <f>HYPERLINK("https://twitter.com/_infoLibre/status/1071024076427354113","1071024076427354113")</f>
        <v>1071024076427354113</v>
      </c>
      <c r="F1098" s="11" t="s">
        <v>2322</v>
      </c>
      <c r="G1098" s="11" t="s">
        <v>4146</v>
      </c>
      <c r="H1098" s="12"/>
      <c r="I1098" s="13">
        <v>17</v>
      </c>
      <c r="J1098" s="13">
        <v>15</v>
      </c>
      <c r="K1098" s="14" t="str">
        <f>HYPERLINK("https://www.hootsuite.com","Hootsuite Inc.")</f>
        <v>Hootsuite Inc.</v>
      </c>
      <c r="L1098" s="13">
        <v>249792</v>
      </c>
      <c r="M1098" s="13">
        <v>727</v>
      </c>
      <c r="N1098" s="13">
        <v>4485</v>
      </c>
      <c r="O1098" s="18" t="s">
        <v>41</v>
      </c>
      <c r="P1098" s="6">
        <v>41069.919710648144</v>
      </c>
      <c r="Q1098" s="16" t="s">
        <v>200</v>
      </c>
      <c r="R1098" s="17" t="s">
        <v>2324</v>
      </c>
      <c r="S1098" s="11" t="s">
        <v>2325</v>
      </c>
      <c r="T1098" s="12"/>
      <c r="U1098" s="10" t="str">
        <f>HYPERLINK("https://pbs.twimg.com/profile_images/972036821000605696/wPuPU0Mx.jpg","View")</f>
        <v>View</v>
      </c>
    </row>
    <row r="1099" spans="1:21" ht="30.6">
      <c r="A1099" s="6">
        <v>43441.576527777783</v>
      </c>
      <c r="B1099" s="7" t="str">
        <f>HYPERLINK("https://twitter.com/SeorX28189526","@SeorX28189526")</f>
        <v>@SeorX28189526</v>
      </c>
      <c r="C1099" s="8" t="s">
        <v>4147</v>
      </c>
      <c r="D1099" s="9" t="s">
        <v>4148</v>
      </c>
      <c r="E1099" s="10" t="str">
        <f>HYPERLINK("https://twitter.com/SeorX28189526/status/1071024073579421697","1071024073579421697")</f>
        <v>1071024073579421697</v>
      </c>
      <c r="F1099" s="12"/>
      <c r="G1099" s="11" t="s">
        <v>4149</v>
      </c>
      <c r="H1099" s="12"/>
      <c r="I1099" s="13">
        <v>0</v>
      </c>
      <c r="J1099" s="13">
        <v>1</v>
      </c>
      <c r="K1099" s="14" t="str">
        <f>HYPERLINK("http://twitter.com/download/iphone","Twitter for iPhone")</f>
        <v>Twitter for iPhone</v>
      </c>
      <c r="L1099" s="13">
        <v>1291</v>
      </c>
      <c r="M1099" s="13">
        <v>1482</v>
      </c>
      <c r="N1099" s="13">
        <v>2</v>
      </c>
      <c r="O1099" s="15"/>
      <c r="P1099" s="6">
        <v>42540.83798611111</v>
      </c>
      <c r="Q1099" s="16" t="s">
        <v>60</v>
      </c>
      <c r="R1099" s="17" t="s">
        <v>4150</v>
      </c>
      <c r="S1099" s="12"/>
      <c r="T1099" s="12"/>
      <c r="U1099" s="10" t="str">
        <f>HYPERLINK("https://pbs.twimg.com/profile_images/748048325992189952/dirhCFeJ.jpg","View")</f>
        <v>View</v>
      </c>
    </row>
    <row r="1100" spans="1:21" ht="30.6">
      <c r="A1100" s="6">
        <v>43441.576412037037</v>
      </c>
      <c r="B1100" s="7" t="str">
        <f>HYPERLINK("https://twitter.com/qmunty","@qmunty")</f>
        <v>@qmunty</v>
      </c>
      <c r="C1100" s="8" t="s">
        <v>4151</v>
      </c>
      <c r="D1100" s="9" t="s">
        <v>4152</v>
      </c>
      <c r="E1100" s="10" t="str">
        <f>HYPERLINK("https://twitter.com/qmunty/status/1071024031053303808","1071024031053303808")</f>
        <v>1071024031053303808</v>
      </c>
      <c r="F1100" s="11" t="s">
        <v>4153</v>
      </c>
      <c r="G1100" s="12"/>
      <c r="H1100" s="12"/>
      <c r="I1100" s="13">
        <v>0</v>
      </c>
      <c r="J1100" s="13">
        <v>0</v>
      </c>
      <c r="K1100" s="14" t="str">
        <f>HYPERLINK("https://buffer.com","Buffer")</f>
        <v>Buffer</v>
      </c>
      <c r="L1100" s="13">
        <v>6691</v>
      </c>
      <c r="M1100" s="13">
        <v>1523</v>
      </c>
      <c r="N1100" s="13">
        <v>269</v>
      </c>
      <c r="O1100" s="15"/>
      <c r="P1100" s="6">
        <v>40077.707986111112</v>
      </c>
      <c r="Q1100" s="16" t="s">
        <v>4154</v>
      </c>
      <c r="R1100" s="17" t="s">
        <v>4155</v>
      </c>
      <c r="S1100" s="11" t="s">
        <v>4156</v>
      </c>
      <c r="T1100" s="12"/>
      <c r="U1100" s="10" t="str">
        <f>HYPERLINK("https://pbs.twimg.com/profile_images/1739128206/Panther-Logo-Twitter.jpg","View")</f>
        <v>View</v>
      </c>
    </row>
    <row r="1101" spans="1:21" ht="20.399999999999999">
      <c r="A1101" s="6">
        <v>43441.576180555552</v>
      </c>
      <c r="B1101" s="7" t="str">
        <f>HYPERLINK("https://twitter.com/LoliLoli2823","@LoliLoli2823")</f>
        <v>@LoliLoli2823</v>
      </c>
      <c r="C1101" s="8" t="s">
        <v>4157</v>
      </c>
      <c r="D1101" s="9" t="s">
        <v>3317</v>
      </c>
      <c r="E1101" s="10" t="str">
        <f>HYPERLINK("https://twitter.com/LoliLoli2823/status/1071023947955752960","1071023947955752960")</f>
        <v>1071023947955752960</v>
      </c>
      <c r="F1101" s="11" t="s">
        <v>4158</v>
      </c>
      <c r="G1101" s="12"/>
      <c r="H1101" s="12"/>
      <c r="I1101" s="13">
        <v>0</v>
      </c>
      <c r="J1101" s="13">
        <v>0</v>
      </c>
      <c r="K1101" s="14" t="str">
        <f>HYPERLINK("http://twitter.com/download/iphone","Twitter for iPhone")</f>
        <v>Twitter for iPhone</v>
      </c>
      <c r="L1101" s="13">
        <v>517</v>
      </c>
      <c r="M1101" s="13">
        <v>557</v>
      </c>
      <c r="N1101" s="13">
        <v>44</v>
      </c>
      <c r="O1101" s="15"/>
      <c r="P1101" s="6">
        <v>42202.727037037039</v>
      </c>
      <c r="Q1101" s="12"/>
      <c r="R1101" s="19"/>
      <c r="S1101" s="12"/>
      <c r="T1101" s="12"/>
      <c r="U1101" s="10" t="str">
        <f>HYPERLINK("https://pbs.twimg.com/profile_images/622111665136472064/oIA4cYkC.jpg","View")</f>
        <v>View</v>
      </c>
    </row>
    <row r="1102" spans="1:21" ht="20.399999999999999">
      <c r="A1102" s="6">
        <v>43441.576006944444</v>
      </c>
      <c r="B1102" s="7" t="str">
        <f>HYPERLINK("https://twitter.com/LimaNewsWeek","@LimaNewsWeek")</f>
        <v>@LimaNewsWeek</v>
      </c>
      <c r="C1102" s="8" t="s">
        <v>4159</v>
      </c>
      <c r="D1102" s="9" t="s">
        <v>3994</v>
      </c>
      <c r="E1102" s="10" t="str">
        <f>HYPERLINK("https://twitter.com/LimaNewsWeek/status/1071023885645242370","1071023885645242370")</f>
        <v>1071023885645242370</v>
      </c>
      <c r="F1102" s="11" t="s">
        <v>4160</v>
      </c>
      <c r="G1102" s="11" t="s">
        <v>4161</v>
      </c>
      <c r="H1102" s="12"/>
      <c r="I1102" s="13">
        <v>0</v>
      </c>
      <c r="J1102" s="13">
        <v>0</v>
      </c>
      <c r="K1102" s="14" t="str">
        <f>HYPERLINK("https://www.hootsuite.com","Hootsuite Inc.")</f>
        <v>Hootsuite Inc.</v>
      </c>
      <c r="L1102" s="13">
        <v>318</v>
      </c>
      <c r="M1102" s="13">
        <v>202</v>
      </c>
      <c r="N1102" s="13">
        <v>13</v>
      </c>
      <c r="O1102" s="15"/>
      <c r="P1102" s="6">
        <v>42487.695150462961</v>
      </c>
      <c r="Q1102" s="16" t="s">
        <v>1891</v>
      </c>
      <c r="R1102" s="19"/>
      <c r="S1102" s="12"/>
      <c r="T1102" s="12"/>
      <c r="U1102" s="10" t="str">
        <f>HYPERLINK("https://pbs.twimg.com/profile_images/958496533141491712/cgi53uZo.jpg","View")</f>
        <v>View</v>
      </c>
    </row>
    <row r="1103" spans="1:21" ht="30.6">
      <c r="A1103" s="6">
        <v>43441.57540509259</v>
      </c>
      <c r="B1103" s="7" t="str">
        <f>HYPERLINK("https://twitter.com/ontibe","@ontibe")</f>
        <v>@ontibe</v>
      </c>
      <c r="C1103" s="8" t="s">
        <v>4162</v>
      </c>
      <c r="D1103" s="9" t="s">
        <v>1514</v>
      </c>
      <c r="E1103" s="10" t="str">
        <f>HYPERLINK("https://twitter.com/ontibe/status/1071023665058324485","1071023665058324485")</f>
        <v>1071023665058324485</v>
      </c>
      <c r="F1103" s="11" t="s">
        <v>246</v>
      </c>
      <c r="G1103" s="12"/>
      <c r="H1103" s="12"/>
      <c r="I1103" s="13">
        <v>0</v>
      </c>
      <c r="J1103" s="13">
        <v>0</v>
      </c>
      <c r="K1103" s="14" t="str">
        <f>HYPERLINK("http://twitter.com","Twitter Web Client")</f>
        <v>Twitter Web Client</v>
      </c>
      <c r="L1103" s="13">
        <v>462</v>
      </c>
      <c r="M1103" s="13">
        <v>1373</v>
      </c>
      <c r="N1103" s="13">
        <v>1</v>
      </c>
      <c r="O1103" s="15"/>
      <c r="P1103" s="6">
        <v>40673.627766203703</v>
      </c>
      <c r="Q1103" s="16" t="s">
        <v>4163</v>
      </c>
      <c r="R1103" s="17" t="s">
        <v>4164</v>
      </c>
      <c r="S1103" s="12"/>
      <c r="T1103" s="12"/>
      <c r="U1103" s="10" t="str">
        <f>HYPERLINK("https://pbs.twimg.com/profile_images/867069058037972993/9c2-Wrp7.jpg","View")</f>
        <v>View</v>
      </c>
    </row>
    <row r="1104" spans="1:21" ht="40.799999999999997">
      <c r="A1104" s="6">
        <v>43441.575266203705</v>
      </c>
      <c r="B1104" s="7" t="str">
        <f>HYPERLINK("https://twitter.com/Tomatufresco","@Tomatufresco")</f>
        <v>@Tomatufresco</v>
      </c>
      <c r="C1104" s="8" t="s">
        <v>4165</v>
      </c>
      <c r="D1104" s="9" t="s">
        <v>4166</v>
      </c>
      <c r="E1104" s="10" t="str">
        <f>HYPERLINK("https://twitter.com/Tomatufresco/status/1071023618602221569","1071023618602221569")</f>
        <v>1071023618602221569</v>
      </c>
      <c r="F1104" s="12"/>
      <c r="G1104" s="12"/>
      <c r="H1104" s="12"/>
      <c r="I1104" s="13">
        <v>1</v>
      </c>
      <c r="J1104" s="13">
        <v>2</v>
      </c>
      <c r="K1104" s="14" t="str">
        <f>HYPERLINK("http://twitter.com/#!/download/ipad","Twitter for iPad")</f>
        <v>Twitter for iPad</v>
      </c>
      <c r="L1104" s="13">
        <v>373</v>
      </c>
      <c r="M1104" s="13">
        <v>366</v>
      </c>
      <c r="N1104" s="13">
        <v>1</v>
      </c>
      <c r="O1104" s="15"/>
      <c r="P1104" s="6">
        <v>42766.592997685184</v>
      </c>
      <c r="Q1104" s="16" t="s">
        <v>119</v>
      </c>
      <c r="R1104" s="17" t="s">
        <v>4167</v>
      </c>
      <c r="S1104" s="12"/>
      <c r="T1104" s="12"/>
      <c r="U1104" s="10" t="str">
        <f>HYPERLINK("https://pbs.twimg.com/profile_images/956922772210552832/GIdnkreI.jpg","View")</f>
        <v>View</v>
      </c>
    </row>
    <row r="1105" spans="1:21" ht="30.6">
      <c r="A1105" s="6">
        <v>43441.575196759259</v>
      </c>
      <c r="B1105" s="7" t="str">
        <f t="shared" ref="B1105:B1106" si="185">HYPERLINK("https://twitter.com/Jacobo7elbobo","@Jacobo7elbobo")</f>
        <v>@Jacobo7elbobo</v>
      </c>
      <c r="C1105" s="8" t="s">
        <v>4168</v>
      </c>
      <c r="D1105" s="9" t="s">
        <v>575</v>
      </c>
      <c r="E1105" s="10" t="str">
        <f>HYPERLINK("https://twitter.com/Jacobo7elbobo/status/1071023591876161536","1071023591876161536")</f>
        <v>1071023591876161536</v>
      </c>
      <c r="F1105" s="11" t="s">
        <v>576</v>
      </c>
      <c r="G1105" s="12"/>
      <c r="H1105" s="12"/>
      <c r="I1105" s="13">
        <v>4</v>
      </c>
      <c r="J1105" s="13">
        <v>4</v>
      </c>
      <c r="K1105" s="14" t="str">
        <f t="shared" ref="K1105:K1106" si="186">HYPERLINK("http://twitter.com","Twitter Web Client")</f>
        <v>Twitter Web Client</v>
      </c>
      <c r="L1105" s="13">
        <v>5561</v>
      </c>
      <c r="M1105" s="13">
        <v>5286</v>
      </c>
      <c r="N1105" s="13">
        <v>8</v>
      </c>
      <c r="O1105" s="15"/>
      <c r="P1105" s="6">
        <v>42315.993460648147</v>
      </c>
      <c r="Q1105" s="16" t="s">
        <v>4169</v>
      </c>
      <c r="R1105" s="17" t="s">
        <v>4170</v>
      </c>
      <c r="S1105" s="12"/>
      <c r="T1105" s="12"/>
      <c r="U1105" s="10" t="str">
        <f t="shared" ref="U1105:U1106" si="187">HYPERLINK("https://pbs.twimg.com/profile_images/972809079289675776/alLBdem6.jpg","View")</f>
        <v>View</v>
      </c>
    </row>
    <row r="1106" spans="1:21" ht="20.399999999999999">
      <c r="A1106" s="6">
        <v>43441.574965277774</v>
      </c>
      <c r="B1106" s="7" t="str">
        <f t="shared" si="185"/>
        <v>@Jacobo7elbobo</v>
      </c>
      <c r="C1106" s="8" t="s">
        <v>4168</v>
      </c>
      <c r="D1106" s="9" t="s">
        <v>1175</v>
      </c>
      <c r="E1106" s="10" t="str">
        <f>HYPERLINK("https://twitter.com/Jacobo7elbobo/status/1071023508443013121","1071023508443013121")</f>
        <v>1071023508443013121</v>
      </c>
      <c r="F1106" s="11" t="s">
        <v>1176</v>
      </c>
      <c r="G1106" s="12"/>
      <c r="H1106" s="12"/>
      <c r="I1106" s="13">
        <v>1</v>
      </c>
      <c r="J1106" s="13">
        <v>1</v>
      </c>
      <c r="K1106" s="14" t="str">
        <f t="shared" si="186"/>
        <v>Twitter Web Client</v>
      </c>
      <c r="L1106" s="13">
        <v>5561</v>
      </c>
      <c r="M1106" s="13">
        <v>5286</v>
      </c>
      <c r="N1106" s="13">
        <v>8</v>
      </c>
      <c r="O1106" s="15"/>
      <c r="P1106" s="6">
        <v>42315.993460648147</v>
      </c>
      <c r="Q1106" s="16" t="s">
        <v>4169</v>
      </c>
      <c r="R1106" s="17" t="s">
        <v>4170</v>
      </c>
      <c r="S1106" s="12"/>
      <c r="T1106" s="12"/>
      <c r="U1106" s="10" t="str">
        <f t="shared" si="187"/>
        <v>View</v>
      </c>
    </row>
    <row r="1107" spans="1:21" ht="40.799999999999997">
      <c r="A1107" s="6">
        <v>43441.574756944443</v>
      </c>
      <c r="B1107" s="7" t="str">
        <f>HYPERLINK("https://twitter.com/justatata","@justatata")</f>
        <v>@justatata</v>
      </c>
      <c r="C1107" s="8" t="s">
        <v>4171</v>
      </c>
      <c r="D1107" s="9" t="s">
        <v>4172</v>
      </c>
      <c r="E1107" s="10" t="str">
        <f>HYPERLINK("https://twitter.com/justatata/status/1071023432589082625","1071023432589082625")</f>
        <v>1071023432589082625</v>
      </c>
      <c r="F1107" s="12"/>
      <c r="G1107" s="12"/>
      <c r="H1107" s="12"/>
      <c r="I1107" s="13">
        <v>0</v>
      </c>
      <c r="J1107" s="13">
        <v>0</v>
      </c>
      <c r="K1107" s="14" t="str">
        <f t="shared" ref="K1107:K1110" si="188">HYPERLINK("http://twitter.com/download/android","Twitter for Android")</f>
        <v>Twitter for Android</v>
      </c>
      <c r="L1107" s="13">
        <v>115</v>
      </c>
      <c r="M1107" s="13">
        <v>221</v>
      </c>
      <c r="N1107" s="13">
        <v>1</v>
      </c>
      <c r="O1107" s="15"/>
      <c r="P1107" s="6">
        <v>40564.938657407409</v>
      </c>
      <c r="Q1107" s="16" t="s">
        <v>4173</v>
      </c>
      <c r="R1107" s="17" t="s">
        <v>4174</v>
      </c>
      <c r="S1107" s="12"/>
      <c r="T1107" s="12"/>
      <c r="U1107" s="10" t="str">
        <f>HYPERLINK("https://pbs.twimg.com/profile_images/547890265730854912/9AMgWzFz.jpeg","View")</f>
        <v>View</v>
      </c>
    </row>
    <row r="1108" spans="1:21" ht="30.6">
      <c r="A1108" s="6">
        <v>43441.574537037042</v>
      </c>
      <c r="B1108" s="7" t="str">
        <f>HYPERLINK("https://twitter.com/ciudadanorafa","@ciudadanorafa")</f>
        <v>@ciudadanorafa</v>
      </c>
      <c r="C1108" s="8" t="s">
        <v>881</v>
      </c>
      <c r="D1108" s="9" t="s">
        <v>575</v>
      </c>
      <c r="E1108" s="10" t="str">
        <f>HYPERLINK("https://twitter.com/ciudadanorafa/status/1071023354096877568","1071023354096877568")</f>
        <v>1071023354096877568</v>
      </c>
      <c r="F1108" s="11" t="s">
        <v>576</v>
      </c>
      <c r="G1108" s="12"/>
      <c r="H1108" s="12"/>
      <c r="I1108" s="13">
        <v>0</v>
      </c>
      <c r="J1108" s="13">
        <v>0</v>
      </c>
      <c r="K1108" s="14" t="str">
        <f t="shared" si="188"/>
        <v>Twitter for Android</v>
      </c>
      <c r="L1108" s="13">
        <v>118</v>
      </c>
      <c r="M1108" s="13">
        <v>170</v>
      </c>
      <c r="N1108" s="13">
        <v>0</v>
      </c>
      <c r="O1108" s="15"/>
      <c r="P1108" s="6">
        <v>40710.398472222223</v>
      </c>
      <c r="Q1108" s="16" t="s">
        <v>884</v>
      </c>
      <c r="R1108" s="19"/>
      <c r="S1108" s="12"/>
      <c r="T1108" s="12"/>
      <c r="U1108" s="10" t="str">
        <f>HYPERLINK("https://pbs.twimg.com/profile_images/1056122701734178816/W-21A9GK.jpg","View")</f>
        <v>View</v>
      </c>
    </row>
    <row r="1109" spans="1:21" ht="30.6">
      <c r="A1109" s="6">
        <v>43441.572581018518</v>
      </c>
      <c r="B1109" s="7" t="str">
        <f>HYPERLINK("https://twitter.com/diegocruzblog","@diegocruzblog")</f>
        <v>@diegocruzblog</v>
      </c>
      <c r="C1109" s="8" t="s">
        <v>1682</v>
      </c>
      <c r="D1109" s="9" t="s">
        <v>4175</v>
      </c>
      <c r="E1109" s="10" t="str">
        <f>HYPERLINK("https://twitter.com/diegocruzblog/status/1071022644617728000","1071022644617728000")</f>
        <v>1071022644617728000</v>
      </c>
      <c r="F1109" s="11" t="s">
        <v>4176</v>
      </c>
      <c r="G1109" s="12"/>
      <c r="H1109" s="12"/>
      <c r="I1109" s="13">
        <v>0</v>
      </c>
      <c r="J1109" s="13">
        <v>0</v>
      </c>
      <c r="K1109" s="14" t="str">
        <f t="shared" si="188"/>
        <v>Twitter for Android</v>
      </c>
      <c r="L1109" s="13">
        <v>24191</v>
      </c>
      <c r="M1109" s="13">
        <v>22088</v>
      </c>
      <c r="N1109" s="13">
        <v>538</v>
      </c>
      <c r="O1109" s="15"/>
      <c r="P1109" s="6">
        <v>39465.420439814814</v>
      </c>
      <c r="Q1109" s="16" t="s">
        <v>1685</v>
      </c>
      <c r="R1109" s="17" t="s">
        <v>1686</v>
      </c>
      <c r="S1109" s="11" t="s">
        <v>1687</v>
      </c>
      <c r="T1109" s="12"/>
      <c r="U1109" s="10" t="str">
        <f>HYPERLINK("https://pbs.twimg.com/profile_images/957406979936448513/tF4hyXi5.jpg","View")</f>
        <v>View</v>
      </c>
    </row>
    <row r="1110" spans="1:21" ht="40.799999999999997">
      <c r="A1110" s="6">
        <v>43441.571979166663</v>
      </c>
      <c r="B1110" s="7" t="str">
        <f>HYPERLINK("https://twitter.com/ELB_68","@ELB_68")</f>
        <v>@ELB_68</v>
      </c>
      <c r="C1110" s="8" t="s">
        <v>4177</v>
      </c>
      <c r="D1110" s="9" t="s">
        <v>4178</v>
      </c>
      <c r="E1110" s="10" t="str">
        <f>HYPERLINK("https://twitter.com/ELB_68/status/1071022427340267520","1071022427340267520")</f>
        <v>1071022427340267520</v>
      </c>
      <c r="F1110" s="12"/>
      <c r="G1110" s="12"/>
      <c r="H1110" s="12"/>
      <c r="I1110" s="13">
        <v>0</v>
      </c>
      <c r="J1110" s="13">
        <v>3</v>
      </c>
      <c r="K1110" s="14" t="str">
        <f t="shared" si="188"/>
        <v>Twitter for Android</v>
      </c>
      <c r="L1110" s="13">
        <v>684</v>
      </c>
      <c r="M1110" s="13">
        <v>670</v>
      </c>
      <c r="N1110" s="13">
        <v>19</v>
      </c>
      <c r="O1110" s="15"/>
      <c r="P1110" s="6">
        <v>41199.897638888891</v>
      </c>
      <c r="Q1110" s="12"/>
      <c r="R1110" s="17" t="s">
        <v>4179</v>
      </c>
      <c r="S1110" s="12"/>
      <c r="T1110" s="12"/>
      <c r="U1110" s="10" t="str">
        <f>HYPERLINK("https://pbs.twimg.com/profile_images/1050878829642833920/W6l5WSW7.jpg","View")</f>
        <v>View</v>
      </c>
    </row>
    <row r="1111" spans="1:21" ht="20.399999999999999">
      <c r="A1111" s="6">
        <v>43441.571898148148</v>
      </c>
      <c r="B1111" s="7" t="str">
        <f>HYPERLINK("https://twitter.com/CestariOscar","@CestariOscar")</f>
        <v>@CestariOscar</v>
      </c>
      <c r="C1111" s="8" t="s">
        <v>4180</v>
      </c>
      <c r="D1111" s="9" t="s">
        <v>3563</v>
      </c>
      <c r="E1111" s="10" t="str">
        <f>HYPERLINK("https://twitter.com/CestariOscar/status/1071022395039862786","1071022395039862786")</f>
        <v>1071022395039862786</v>
      </c>
      <c r="F1111" s="11" t="s">
        <v>2242</v>
      </c>
      <c r="G1111" s="12"/>
      <c r="H1111" s="12"/>
      <c r="I1111" s="13">
        <v>0</v>
      </c>
      <c r="J1111" s="13">
        <v>0</v>
      </c>
      <c r="K1111" s="14" t="str">
        <f t="shared" ref="K1111:K1112" si="189">HYPERLINK("http://www.facebook.com/twitter","Facebook")</f>
        <v>Facebook</v>
      </c>
      <c r="L1111" s="13">
        <v>166</v>
      </c>
      <c r="M1111" s="13">
        <v>181</v>
      </c>
      <c r="N1111" s="13">
        <v>0</v>
      </c>
      <c r="O1111" s="15"/>
      <c r="P1111" s="6">
        <v>41710.824618055558</v>
      </c>
      <c r="Q1111" s="12"/>
      <c r="R1111" s="19"/>
      <c r="S1111" s="12"/>
      <c r="T1111" s="12"/>
      <c r="U1111" s="10" t="str">
        <f>HYPERLINK("https://pbs.twimg.com/profile_images/460021269207863296/yjBUNpoY.jpeg","View")</f>
        <v>View</v>
      </c>
    </row>
    <row r="1112" spans="1:21" ht="40.799999999999997">
      <c r="A1112" s="6">
        <v>43441.570775462962</v>
      </c>
      <c r="B1112" s="7" t="str">
        <f>HYPERLINK("https://twitter.com/Richie_gz","@Richie_gz")</f>
        <v>@Richie_gz</v>
      </c>
      <c r="C1112" s="8" t="s">
        <v>4181</v>
      </c>
      <c r="D1112" s="9" t="s">
        <v>4182</v>
      </c>
      <c r="E1112" s="10" t="str">
        <f>HYPERLINK("https://twitter.com/Richie_gz/status/1071021987970068481","1071021987970068481")</f>
        <v>1071021987970068481</v>
      </c>
      <c r="F1112" s="11" t="s">
        <v>4183</v>
      </c>
      <c r="G1112" s="12"/>
      <c r="H1112" s="12"/>
      <c r="I1112" s="13">
        <v>0</v>
      </c>
      <c r="J1112" s="13">
        <v>0</v>
      </c>
      <c r="K1112" s="14" t="str">
        <f t="shared" si="189"/>
        <v>Facebook</v>
      </c>
      <c r="L1112" s="13">
        <v>137</v>
      </c>
      <c r="M1112" s="13">
        <v>71</v>
      </c>
      <c r="N1112" s="13">
        <v>0</v>
      </c>
      <c r="O1112" s="15"/>
      <c r="P1112" s="6">
        <v>41286.617581018516</v>
      </c>
      <c r="Q1112" s="16" t="s">
        <v>4184</v>
      </c>
      <c r="R1112" s="17" t="s">
        <v>4185</v>
      </c>
      <c r="S1112" s="11" t="s">
        <v>4186</v>
      </c>
      <c r="T1112" s="12"/>
      <c r="U1112" s="10" t="str">
        <f>HYPERLINK("https://pbs.twimg.com/profile_images/3098812624/381c969f2da82a539e77c2e8e0075b50.jpeg","View")</f>
        <v>View</v>
      </c>
    </row>
    <row r="1113" spans="1:21" ht="40.799999999999997">
      <c r="A1113" s="6">
        <v>43441.569467592592</v>
      </c>
      <c r="B1113" s="7" t="str">
        <f>HYPERLINK("https://twitter.com/infotaller","@infotaller")</f>
        <v>@infotaller</v>
      </c>
      <c r="C1113" s="8" t="s">
        <v>4187</v>
      </c>
      <c r="D1113" s="9" t="s">
        <v>4188</v>
      </c>
      <c r="E1113" s="10" t="str">
        <f>HYPERLINK("https://twitter.com/infotaller/status/1071021515368513537","1071021515368513537")</f>
        <v>1071021515368513537</v>
      </c>
      <c r="F1113" s="11" t="s">
        <v>4189</v>
      </c>
      <c r="G1113" s="12"/>
      <c r="H1113" s="12"/>
      <c r="I1113" s="13">
        <v>0</v>
      </c>
      <c r="J1113" s="13">
        <v>0</v>
      </c>
      <c r="K1113" s="14" t="str">
        <f>HYPERLINK("http://twitter.com","Twitter Web Client")</f>
        <v>Twitter Web Client</v>
      </c>
      <c r="L1113" s="13">
        <v>8166</v>
      </c>
      <c r="M1113" s="13">
        <v>405</v>
      </c>
      <c r="N1113" s="13">
        <v>201</v>
      </c>
      <c r="O1113" s="15"/>
      <c r="P1113" s="6">
        <v>40012.577384259261</v>
      </c>
      <c r="Q1113" s="12"/>
      <c r="R1113" s="17" t="s">
        <v>4190</v>
      </c>
      <c r="S1113" s="11" t="s">
        <v>4191</v>
      </c>
      <c r="T1113" s="12"/>
      <c r="U1113" s="10" t="str">
        <f>HYPERLINK("https://pbs.twimg.com/profile_images/827183295830056960/jQFA1Srw.jpg","View")</f>
        <v>View</v>
      </c>
    </row>
    <row r="1114" spans="1:21" ht="20.399999999999999">
      <c r="A1114" s="6">
        <v>43441.568726851852</v>
      </c>
      <c r="B1114" s="7" t="str">
        <f>HYPERLINK("https://twitter.com/mandarinasdream","@mandarinasdream")</f>
        <v>@mandarinasdream</v>
      </c>
      <c r="C1114" s="8" t="s">
        <v>4193</v>
      </c>
      <c r="D1114" s="9" t="s">
        <v>4194</v>
      </c>
      <c r="E1114" s="10" t="str">
        <f>HYPERLINK("https://twitter.com/mandarinasdream/status/1071021245792161793","1071021245792161793")</f>
        <v>1071021245792161793</v>
      </c>
      <c r="F1114" s="11" t="s">
        <v>4195</v>
      </c>
      <c r="G1114" s="12"/>
      <c r="H1114" s="12"/>
      <c r="I1114" s="13">
        <v>0</v>
      </c>
      <c r="J1114" s="13">
        <v>0</v>
      </c>
      <c r="K1114" s="14" t="str">
        <f t="shared" ref="K1114:K1115" si="190">HYPERLINK("http://twitter.com/download/android","Twitter for Android")</f>
        <v>Twitter for Android</v>
      </c>
      <c r="L1114" s="13">
        <v>72</v>
      </c>
      <c r="M1114" s="13">
        <v>104</v>
      </c>
      <c r="N1114" s="13">
        <v>1</v>
      </c>
      <c r="O1114" s="15"/>
      <c r="P1114" s="6">
        <v>42732.73673611111</v>
      </c>
      <c r="Q1114" s="12"/>
      <c r="R1114" s="17" t="s">
        <v>4196</v>
      </c>
      <c r="S1114" s="12"/>
      <c r="T1114" s="12"/>
      <c r="U1114" s="10" t="str">
        <f>HYPERLINK("https://pbs.twimg.com/profile_images/1071057066624802817/65vlYboC.jpg","View")</f>
        <v>View</v>
      </c>
    </row>
    <row r="1115" spans="1:21" ht="20.399999999999999">
      <c r="A1115" s="6">
        <v>43441.568611111114</v>
      </c>
      <c r="B1115" s="7" t="str">
        <f>HYPERLINK("https://twitter.com/PsicologaSANZ","@PsicologaSANZ")</f>
        <v>@PsicologaSANZ</v>
      </c>
      <c r="C1115" s="8" t="s">
        <v>4197</v>
      </c>
      <c r="D1115" s="9" t="s">
        <v>4198</v>
      </c>
      <c r="E1115" s="10" t="str">
        <f>HYPERLINK("https://twitter.com/PsicologaSANZ/status/1071021206730629120","1071021206730629120")</f>
        <v>1071021206730629120</v>
      </c>
      <c r="F1115" s="11" t="s">
        <v>1185</v>
      </c>
      <c r="G1115" s="12"/>
      <c r="H1115" s="12"/>
      <c r="I1115" s="13">
        <v>0</v>
      </c>
      <c r="J1115" s="13">
        <v>0</v>
      </c>
      <c r="K1115" s="14" t="str">
        <f t="shared" si="190"/>
        <v>Twitter for Android</v>
      </c>
      <c r="L1115" s="13">
        <v>1042</v>
      </c>
      <c r="M1115" s="13">
        <v>2474</v>
      </c>
      <c r="N1115" s="13">
        <v>48</v>
      </c>
      <c r="O1115" s="15"/>
      <c r="P1115" s="6">
        <v>41005.61310185185</v>
      </c>
      <c r="Q1115" s="16" t="s">
        <v>3146</v>
      </c>
      <c r="R1115" s="17" t="s">
        <v>4199</v>
      </c>
      <c r="S1115" s="11" t="s">
        <v>4200</v>
      </c>
      <c r="T1115" s="12"/>
      <c r="U1115" s="10" t="str">
        <f>HYPERLINK("https://pbs.twimg.com/profile_images/3604982161/74d88604a9d7fd2c0ee47bc035d7ac26.jpeg","View")</f>
        <v>View</v>
      </c>
    </row>
    <row r="1116" spans="1:21" ht="30.6">
      <c r="A1116" s="6">
        <v>43441.566782407404</v>
      </c>
      <c r="B1116" s="7" t="str">
        <f>HYPERLINK("https://twitter.com/NotiNewsMiami","@NotiNewsMiami")</f>
        <v>@NotiNewsMiami</v>
      </c>
      <c r="C1116" s="8" t="s">
        <v>4201</v>
      </c>
      <c r="D1116" s="9" t="s">
        <v>4202</v>
      </c>
      <c r="E1116" s="10" t="str">
        <f>HYPERLINK("https://twitter.com/NotiNewsMiami/status/1071020540620615681","1071020540620615681")</f>
        <v>1071020540620615681</v>
      </c>
      <c r="F1116" s="11" t="s">
        <v>4203</v>
      </c>
      <c r="G1116" s="12"/>
      <c r="H1116" s="12"/>
      <c r="I1116" s="13">
        <v>1</v>
      </c>
      <c r="J1116" s="13">
        <v>0</v>
      </c>
      <c r="K1116" s="14" t="str">
        <f>HYPERLINK("https://buffer.com","Buffer")</f>
        <v>Buffer</v>
      </c>
      <c r="L1116" s="13">
        <v>133689</v>
      </c>
      <c r="M1116" s="13">
        <v>9466</v>
      </c>
      <c r="N1116" s="13">
        <v>448</v>
      </c>
      <c r="O1116" s="15"/>
      <c r="P1116" s="6">
        <v>41688.329629629632</v>
      </c>
      <c r="Q1116" s="16" t="s">
        <v>3662</v>
      </c>
      <c r="R1116" s="17" t="s">
        <v>4204</v>
      </c>
      <c r="S1116" s="11" t="s">
        <v>4205</v>
      </c>
      <c r="T1116" s="12"/>
      <c r="U1116" s="10" t="str">
        <f>HYPERLINK("https://pbs.twimg.com/profile_images/1017913224887521280/xOqi1TRb.jpg","View")</f>
        <v>View</v>
      </c>
    </row>
    <row r="1117" spans="1:21" ht="20.399999999999999">
      <c r="A1117" s="6">
        <v>43441.566759259258</v>
      </c>
      <c r="B1117" s="7" t="str">
        <f>HYPERLINK("https://twitter.com/quetemuevas","@quetemuevas")</f>
        <v>@quetemuevas</v>
      </c>
      <c r="C1117" s="8" t="s">
        <v>4206</v>
      </c>
      <c r="D1117" s="9" t="s">
        <v>1903</v>
      </c>
      <c r="E1117" s="10" t="str">
        <f>HYPERLINK("https://twitter.com/quetemuevas/status/1071020533544824833","1071020533544824833")</f>
        <v>1071020533544824833</v>
      </c>
      <c r="F1117" s="11" t="s">
        <v>3561</v>
      </c>
      <c r="G1117" s="12"/>
      <c r="H1117" s="12"/>
      <c r="I1117" s="13">
        <v>0</v>
      </c>
      <c r="J1117" s="13">
        <v>0</v>
      </c>
      <c r="K1117" s="14" t="str">
        <f>HYPERLINK("http://twitter.com","Twitter Web Client")</f>
        <v>Twitter Web Client</v>
      </c>
      <c r="L1117" s="13">
        <v>28564</v>
      </c>
      <c r="M1117" s="13">
        <v>24964</v>
      </c>
      <c r="N1117" s="13">
        <v>194</v>
      </c>
      <c r="O1117" s="15"/>
      <c r="P1117" s="6">
        <v>41145.67900462963</v>
      </c>
      <c r="Q1117" s="16" t="s">
        <v>4207</v>
      </c>
      <c r="R1117" s="17" t="s">
        <v>4208</v>
      </c>
      <c r="S1117" s="12"/>
      <c r="T1117" s="12"/>
      <c r="U1117" s="10" t="str">
        <f>HYPERLINK("https://pbs.twimg.com/profile_images/468505705226326016/a4602TfF.jpeg","View")</f>
        <v>View</v>
      </c>
    </row>
    <row r="1118" spans="1:21" ht="40.799999999999997">
      <c r="A1118" s="6">
        <v>43441.566608796296</v>
      </c>
      <c r="B1118" s="7" t="str">
        <f>HYPERLINK("https://twitter.com/AThable","@AThable")</f>
        <v>@AThable</v>
      </c>
      <c r="C1118" s="8" t="s">
        <v>308</v>
      </c>
      <c r="D1118" s="9" t="s">
        <v>4209</v>
      </c>
      <c r="E1118" s="10" t="str">
        <f>HYPERLINK("https://twitter.com/AThable/status/1071020477953515520","1071020477953515520")</f>
        <v>1071020477953515520</v>
      </c>
      <c r="F1118" s="11" t="s">
        <v>4210</v>
      </c>
      <c r="G1118" s="12"/>
      <c r="H1118" s="12"/>
      <c r="I1118" s="13">
        <v>0</v>
      </c>
      <c r="J1118" s="13">
        <v>0</v>
      </c>
      <c r="K1118" s="14" t="str">
        <f>HYPERLINK("http://twitter.com/download/android","Twitter for Android")</f>
        <v>Twitter for Android</v>
      </c>
      <c r="L1118" s="13">
        <v>135</v>
      </c>
      <c r="M1118" s="13">
        <v>254</v>
      </c>
      <c r="N1118" s="13">
        <v>4</v>
      </c>
      <c r="O1118" s="15"/>
      <c r="P1118" s="6">
        <v>41734.528715277775</v>
      </c>
      <c r="Q1118" s="12"/>
      <c r="R1118" s="19"/>
      <c r="S1118" s="12"/>
      <c r="T1118" s="12"/>
      <c r="U1118" s="10" t="str">
        <f>HYPERLINK("https://pbs.twimg.com/profile_images/452396308738105344/uAoxhinN.jpeg","View")</f>
        <v>View</v>
      </c>
    </row>
    <row r="1119" spans="1:21" ht="40.799999999999997">
      <c r="A1119" s="6">
        <v>43441.566296296296</v>
      </c>
      <c r="B1119" s="7" t="str">
        <f>HYPERLINK("https://twitter.com/rcdlccom","@rcdlccom")</f>
        <v>@rcdlccom</v>
      </c>
      <c r="C1119" s="20" t="s">
        <v>1039</v>
      </c>
      <c r="D1119" s="9" t="s">
        <v>4211</v>
      </c>
      <c r="E1119" s="10" t="str">
        <f>HYPERLINK("https://twitter.com/rcdlccom/status/1071020367752429568","1071020367752429568")</f>
        <v>1071020367752429568</v>
      </c>
      <c r="F1119" s="12"/>
      <c r="G1119" s="11" t="s">
        <v>4212</v>
      </c>
      <c r="H1119" s="12"/>
      <c r="I1119" s="13">
        <v>0</v>
      </c>
      <c r="J1119" s="13">
        <v>0</v>
      </c>
      <c r="K1119" s="14" t="str">
        <f>HYPERLINK("https://about.twitter.com/products/tweetdeck","TweetDeck")</f>
        <v>TweetDeck</v>
      </c>
      <c r="L1119" s="13">
        <v>5533</v>
      </c>
      <c r="M1119" s="13">
        <v>413</v>
      </c>
      <c r="N1119" s="13">
        <v>108</v>
      </c>
      <c r="O1119" s="15"/>
      <c r="P1119" s="6">
        <v>40633.172534722224</v>
      </c>
      <c r="Q1119" s="16" t="s">
        <v>842</v>
      </c>
      <c r="R1119" s="17" t="s">
        <v>1042</v>
      </c>
      <c r="S1119" s="11" t="s">
        <v>1043</v>
      </c>
      <c r="T1119" s="12"/>
      <c r="U1119" s="10" t="str">
        <f>HYPERLINK("https://pbs.twimg.com/profile_images/459144183727390721/UKy6skHU.jpeg","View")</f>
        <v>View</v>
      </c>
    </row>
    <row r="1120" spans="1:21" ht="40.799999999999997">
      <c r="A1120" s="6">
        <v>43441.564652777779</v>
      </c>
      <c r="B1120" s="7" t="str">
        <f>HYPERLINK("https://twitter.com/Zibelinam","@Zibelinam")</f>
        <v>@Zibelinam</v>
      </c>
      <c r="C1120" s="8" t="s">
        <v>1730</v>
      </c>
      <c r="D1120" s="9" t="s">
        <v>4213</v>
      </c>
      <c r="E1120" s="10" t="str">
        <f>HYPERLINK("https://twitter.com/Zibelinam/status/1071019768969347073","1071019768969347073")</f>
        <v>1071019768969347073</v>
      </c>
      <c r="F1120" s="11" t="s">
        <v>467</v>
      </c>
      <c r="G1120" s="12"/>
      <c r="H1120" s="12"/>
      <c r="I1120" s="13">
        <v>5</v>
      </c>
      <c r="J1120" s="13">
        <v>1</v>
      </c>
      <c r="K1120" s="14" t="str">
        <f>HYPERLINK("http://twitter.com/download/iphone","Twitter for iPhone")</f>
        <v>Twitter for iPhone</v>
      </c>
      <c r="L1120" s="13">
        <v>4133</v>
      </c>
      <c r="M1120" s="13">
        <v>4055</v>
      </c>
      <c r="N1120" s="13">
        <v>20</v>
      </c>
      <c r="O1120" s="15"/>
      <c r="P1120" s="6">
        <v>41405.65353009259</v>
      </c>
      <c r="Q1120" s="16" t="s">
        <v>1732</v>
      </c>
      <c r="R1120" s="17" t="s">
        <v>1733</v>
      </c>
      <c r="S1120" s="12"/>
      <c r="T1120" s="12"/>
      <c r="U1120" s="10" t="str">
        <f>HYPERLINK("https://pbs.twimg.com/profile_images/929426502416027649/07tvgMQf.jpg","View")</f>
        <v>View</v>
      </c>
    </row>
    <row r="1121" spans="1:21" ht="40.799999999999997">
      <c r="A1121" s="6">
        <v>43441.563611111109</v>
      </c>
      <c r="B1121" s="7" t="str">
        <f>HYPERLINK("https://twitter.com/EconomiaED_","@EconomiaED_")</f>
        <v>@EconomiaED_</v>
      </c>
      <c r="C1121" s="8" t="s">
        <v>4214</v>
      </c>
      <c r="D1121" s="9" t="s">
        <v>4215</v>
      </c>
      <c r="E1121" s="10" t="str">
        <f>HYPERLINK("https://twitter.com/EconomiaED_/status/1071019391888879616","1071019391888879616")</f>
        <v>1071019391888879616</v>
      </c>
      <c r="F1121" s="11" t="s">
        <v>4216</v>
      </c>
      <c r="G1121" s="12"/>
      <c r="H1121" s="12"/>
      <c r="I1121" s="13">
        <v>1</v>
      </c>
      <c r="J1121" s="13">
        <v>0</v>
      </c>
      <c r="K1121" s="14" t="str">
        <f>HYPERLINK("https://about.twitter.com/products/tweetdeck","TweetDeck")</f>
        <v>TweetDeck</v>
      </c>
      <c r="L1121" s="13">
        <v>37786</v>
      </c>
      <c r="M1121" s="13">
        <v>15</v>
      </c>
      <c r="N1121" s="13">
        <v>1329</v>
      </c>
      <c r="O1121" s="18" t="s">
        <v>41</v>
      </c>
      <c r="P1121" s="6">
        <v>39848.703750000001</v>
      </c>
      <c r="Q1121" s="16" t="s">
        <v>87</v>
      </c>
      <c r="R1121" s="17" t="s">
        <v>4217</v>
      </c>
      <c r="S1121" s="11" t="s">
        <v>4218</v>
      </c>
      <c r="T1121" s="12"/>
      <c r="U1121" s="10" t="str">
        <f>HYPERLINK("https://pbs.twimg.com/profile_images/1065647658960908290/EhoCCUFX.jpg","View")</f>
        <v>View</v>
      </c>
    </row>
    <row r="1122" spans="1:21" ht="30.6">
      <c r="A1122" s="6">
        <v>43441.562673611115</v>
      </c>
      <c r="B1122" s="7" t="str">
        <f>HYPERLINK("https://twitter.com/jgcorripio","@jgcorripio")</f>
        <v>@jgcorripio</v>
      </c>
      <c r="C1122" s="8" t="s">
        <v>4219</v>
      </c>
      <c r="D1122" s="9" t="s">
        <v>4220</v>
      </c>
      <c r="E1122" s="10" t="str">
        <f>HYPERLINK("https://twitter.com/jgcorripio/status/1071019055069491200","1071019055069491200")</f>
        <v>1071019055069491200</v>
      </c>
      <c r="F1122" s="11" t="s">
        <v>115</v>
      </c>
      <c r="G1122" s="12"/>
      <c r="H1122" s="12"/>
      <c r="I1122" s="13">
        <v>1</v>
      </c>
      <c r="J1122" s="13">
        <v>0</v>
      </c>
      <c r="K1122" s="14" t="str">
        <f t="shared" ref="K1122:K1123" si="191">HYPERLINK("http://twitter.com","Twitter Web Client")</f>
        <v>Twitter Web Client</v>
      </c>
      <c r="L1122" s="13">
        <v>100</v>
      </c>
      <c r="M1122" s="13">
        <v>396</v>
      </c>
      <c r="N1122" s="13">
        <v>2</v>
      </c>
      <c r="O1122" s="15"/>
      <c r="P1122" s="6">
        <v>42191.398344907408</v>
      </c>
      <c r="Q1122" s="16" t="s">
        <v>4221</v>
      </c>
      <c r="R1122" s="17" t="s">
        <v>4222</v>
      </c>
      <c r="S1122" s="11" t="s">
        <v>4223</v>
      </c>
      <c r="T1122" s="12"/>
      <c r="U1122" s="10" t="str">
        <f>HYPERLINK("https://pbs.twimg.com/profile_images/626356465176068096/nMgNoARb.jpg","View")</f>
        <v>View</v>
      </c>
    </row>
    <row r="1123" spans="1:21" ht="30.6">
      <c r="A1123" s="6">
        <v>43441.562337962961</v>
      </c>
      <c r="B1123" s="7" t="str">
        <f>HYPERLINK("https://twitter.com/fcomartnez","@fcomartnez")</f>
        <v>@fcomartnez</v>
      </c>
      <c r="C1123" s="8" t="s">
        <v>4224</v>
      </c>
      <c r="D1123" s="9" t="s">
        <v>1514</v>
      </c>
      <c r="E1123" s="10" t="str">
        <f>HYPERLINK("https://twitter.com/fcomartnez/status/1071018931572359168","1071018931572359168")</f>
        <v>1071018931572359168</v>
      </c>
      <c r="F1123" s="11" t="s">
        <v>246</v>
      </c>
      <c r="G1123" s="12"/>
      <c r="H1123" s="12"/>
      <c r="I1123" s="13">
        <v>0</v>
      </c>
      <c r="J1123" s="13">
        <v>0</v>
      </c>
      <c r="K1123" s="14" t="str">
        <f t="shared" si="191"/>
        <v>Twitter Web Client</v>
      </c>
      <c r="L1123" s="13">
        <v>2840</v>
      </c>
      <c r="M1123" s="13">
        <v>2839</v>
      </c>
      <c r="N1123" s="13">
        <v>15</v>
      </c>
      <c r="O1123" s="15"/>
      <c r="P1123" s="6">
        <v>40682.76059027778</v>
      </c>
      <c r="Q1123" s="16" t="s">
        <v>60</v>
      </c>
      <c r="R1123" s="17" t="s">
        <v>4225</v>
      </c>
      <c r="S1123" s="12"/>
      <c r="T1123" s="12"/>
      <c r="U1123" s="10" t="str">
        <f>HYPERLINK("https://pbs.twimg.com/profile_images/1537287110/twentti.jpg","View")</f>
        <v>View</v>
      </c>
    </row>
    <row r="1124" spans="1:21" ht="30.6">
      <c r="A1124" s="6">
        <v>43441.562291666662</v>
      </c>
      <c r="B1124" s="7" t="str">
        <f>HYPERLINK("https://twitter.com/olgacarreteroa","@olgacarreteroa")</f>
        <v>@olgacarreteroa</v>
      </c>
      <c r="C1124" s="8" t="s">
        <v>4226</v>
      </c>
      <c r="D1124" s="9" t="s">
        <v>4227</v>
      </c>
      <c r="E1124" s="10" t="str">
        <f>HYPERLINK("https://twitter.com/olgacarreteroa/status/1071018916816830464","1071018916816830464")</f>
        <v>1071018916816830464</v>
      </c>
      <c r="F1124" s="11" t="s">
        <v>2270</v>
      </c>
      <c r="G1124" s="12"/>
      <c r="H1124" s="12"/>
      <c r="I1124" s="13">
        <v>0</v>
      </c>
      <c r="J1124" s="13">
        <v>0</v>
      </c>
      <c r="K1124" s="14" t="str">
        <f>HYPERLINK("http://www.facebook.com/twitter","Facebook")</f>
        <v>Facebook</v>
      </c>
      <c r="L1124" s="13">
        <v>164</v>
      </c>
      <c r="M1124" s="13">
        <v>398</v>
      </c>
      <c r="N1124" s="13">
        <v>1</v>
      </c>
      <c r="O1124" s="15"/>
      <c r="P1124" s="6">
        <v>40061.780381944445</v>
      </c>
      <c r="Q1124" s="16" t="s">
        <v>4228</v>
      </c>
      <c r="R1124" s="17" t="s">
        <v>4229</v>
      </c>
      <c r="S1124" s="12"/>
      <c r="T1124" s="12"/>
      <c r="U1124" s="10" t="str">
        <f>HYPERLINK("https://pbs.twimg.com/profile_images/1051615152280403968/kLVDCzvT.jpg","View")</f>
        <v>View</v>
      </c>
    </row>
    <row r="1125" spans="1:21" ht="40.799999999999997">
      <c r="A1125" s="6">
        <v>43441.561319444445</v>
      </c>
      <c r="B1125" s="7" t="str">
        <f>HYPERLINK("https://twitter.com/jose_miguel66","@jose_miguel66")</f>
        <v>@jose_miguel66</v>
      </c>
      <c r="C1125" s="8" t="s">
        <v>4230</v>
      </c>
      <c r="D1125" s="9" t="s">
        <v>3897</v>
      </c>
      <c r="E1125" s="10" t="str">
        <f>HYPERLINK("https://twitter.com/jose_miguel66/status/1071018560695296003","1071018560695296003")</f>
        <v>1071018560695296003</v>
      </c>
      <c r="F1125" s="11" t="s">
        <v>4231</v>
      </c>
      <c r="G1125" s="12"/>
      <c r="H1125" s="12"/>
      <c r="I1125" s="13">
        <v>0</v>
      </c>
      <c r="J1125" s="13">
        <v>0</v>
      </c>
      <c r="K1125" s="14" t="str">
        <f>HYPERLINK("http://twitter.com","Twitter Web Client")</f>
        <v>Twitter Web Client</v>
      </c>
      <c r="L1125" s="13">
        <v>244</v>
      </c>
      <c r="M1125" s="13">
        <v>191</v>
      </c>
      <c r="N1125" s="13">
        <v>0</v>
      </c>
      <c r="O1125" s="15"/>
      <c r="P1125" s="6">
        <v>42999.728993055556</v>
      </c>
      <c r="Q1125" s="16" t="s">
        <v>60</v>
      </c>
      <c r="R1125" s="17" t="s">
        <v>4232</v>
      </c>
      <c r="S1125" s="12"/>
      <c r="T1125" s="12"/>
      <c r="U1125" s="10" t="str">
        <f>HYPERLINK("https://pbs.twimg.com/profile_images/1062282677972287490/gF98JSQN.jpg","View")</f>
        <v>View</v>
      </c>
    </row>
    <row r="1126" spans="1:21" ht="40.799999999999997">
      <c r="A1126" s="6">
        <v>43441.561284722222</v>
      </c>
      <c r="B1126" s="7" t="str">
        <f>HYPERLINK("https://twitter.com/MarioMR__","@MarioMR__")</f>
        <v>@MarioMR__</v>
      </c>
      <c r="C1126" s="8" t="s">
        <v>1600</v>
      </c>
      <c r="D1126" s="9" t="s">
        <v>4233</v>
      </c>
      <c r="E1126" s="10" t="str">
        <f>HYPERLINK("https://twitter.com/MarioMR__/status/1071018548573675520","1071018548573675520")</f>
        <v>1071018548573675520</v>
      </c>
      <c r="F1126" s="11" t="s">
        <v>4234</v>
      </c>
      <c r="G1126" s="12"/>
      <c r="H1126" s="12"/>
      <c r="I1126" s="13">
        <v>0</v>
      </c>
      <c r="J1126" s="13">
        <v>0</v>
      </c>
      <c r="K1126" s="14" t="str">
        <f t="shared" ref="K1126:K1127" si="192">HYPERLINK("http://twitter.com/download/android","Twitter for Android")</f>
        <v>Twitter for Android</v>
      </c>
      <c r="L1126" s="13">
        <v>99</v>
      </c>
      <c r="M1126" s="13">
        <v>277</v>
      </c>
      <c r="N1126" s="13">
        <v>0</v>
      </c>
      <c r="O1126" s="15"/>
      <c r="P1126" s="6">
        <v>43342.57613425926</v>
      </c>
      <c r="Q1126" s="16" t="s">
        <v>133</v>
      </c>
      <c r="R1126" s="17" t="s">
        <v>1601</v>
      </c>
      <c r="S1126" s="12"/>
      <c r="T1126" s="12"/>
      <c r="U1126" s="10" t="str">
        <f>HYPERLINK("https://pbs.twimg.com/profile_images/1035926982859612160/gx7nCc3F.jpg","View")</f>
        <v>View</v>
      </c>
    </row>
    <row r="1127" spans="1:21" ht="51">
      <c r="A1127" s="6">
        <v>43441.558634259258</v>
      </c>
      <c r="B1127" s="7" t="str">
        <f>HYPERLINK("https://twitter.com/Jose_M_Rivera_","@Jose_M_Rivera_")</f>
        <v>@Jose_M_Rivera_</v>
      </c>
      <c r="C1127" s="8" t="s">
        <v>4235</v>
      </c>
      <c r="D1127" s="9" t="s">
        <v>4236</v>
      </c>
      <c r="E1127" s="10" t="str">
        <f>HYPERLINK("https://twitter.com/Jose_M_Rivera_/status/1071017589781000194","1071017589781000194")</f>
        <v>1071017589781000194</v>
      </c>
      <c r="F1127" s="12"/>
      <c r="G1127" s="12"/>
      <c r="H1127" s="12"/>
      <c r="I1127" s="13">
        <v>0</v>
      </c>
      <c r="J1127" s="13">
        <v>0</v>
      </c>
      <c r="K1127" s="14" t="str">
        <f t="shared" si="192"/>
        <v>Twitter for Android</v>
      </c>
      <c r="L1127" s="13">
        <v>2268</v>
      </c>
      <c r="M1127" s="13">
        <v>31</v>
      </c>
      <c r="N1127" s="13">
        <v>6</v>
      </c>
      <c r="O1127" s="15"/>
      <c r="P1127" s="6">
        <v>41793.02380787037</v>
      </c>
      <c r="Q1127" s="16" t="s">
        <v>4237</v>
      </c>
      <c r="R1127" s="17" t="s">
        <v>4238</v>
      </c>
      <c r="S1127" s="12"/>
      <c r="T1127" s="12"/>
      <c r="U1127" s="10" t="str">
        <f>HYPERLINK("https://pbs.twimg.com/profile_images/1062380339966959618/P8vTA8yc.jpg","View")</f>
        <v>View</v>
      </c>
    </row>
    <row r="1128" spans="1:21" ht="30.6">
      <c r="A1128" s="6">
        <v>43441.55841435185</v>
      </c>
      <c r="B1128" s="7" t="str">
        <f>HYPERLINK("https://twitter.com/CorreoDeMadrid","@CorreoDeMadrid")</f>
        <v>@CorreoDeMadrid</v>
      </c>
      <c r="C1128" s="8" t="s">
        <v>4239</v>
      </c>
      <c r="D1128" s="9" t="s">
        <v>4240</v>
      </c>
      <c r="E1128" s="10" t="str">
        <f>HYPERLINK("https://twitter.com/CorreoDeMadrid/status/1071017509367746562","1071017509367746562")</f>
        <v>1071017509367746562</v>
      </c>
      <c r="F1128" s="11" t="s">
        <v>4241</v>
      </c>
      <c r="G1128" s="12"/>
      <c r="H1128" s="12"/>
      <c r="I1128" s="13">
        <v>0</v>
      </c>
      <c r="J1128" s="13">
        <v>0</v>
      </c>
      <c r="K1128" s="14" t="str">
        <f>HYPERLINK("http://twitter.com","Twitter Web Client")</f>
        <v>Twitter Web Client</v>
      </c>
      <c r="L1128" s="13">
        <v>4219</v>
      </c>
      <c r="M1128" s="13">
        <v>830</v>
      </c>
      <c r="N1128" s="13">
        <v>111</v>
      </c>
      <c r="O1128" s="15"/>
      <c r="P1128" s="6">
        <v>41352.918842592597</v>
      </c>
      <c r="Q1128" s="16" t="s">
        <v>200</v>
      </c>
      <c r="R1128" s="17" t="s">
        <v>4242</v>
      </c>
      <c r="S1128" s="11" t="s">
        <v>4243</v>
      </c>
      <c r="T1128" s="12"/>
      <c r="U1128" s="10" t="str">
        <f>HYPERLINK("https://pbs.twimg.com/profile_images/1001503392605274112/SreMCx1u.jpg","View")</f>
        <v>View</v>
      </c>
    </row>
    <row r="1129" spans="1:21" ht="20.399999999999999">
      <c r="A1129" s="6">
        <v>43441.558379629627</v>
      </c>
      <c r="B1129" s="7" t="str">
        <f>HYPERLINK("https://twitter.com/eldiarioes","@eldiarioes")</f>
        <v>@eldiarioes</v>
      </c>
      <c r="C1129" s="20" t="s">
        <v>642</v>
      </c>
      <c r="D1129" s="9" t="s">
        <v>4244</v>
      </c>
      <c r="E1129" s="10" t="str">
        <f>HYPERLINK("https://twitter.com/eldiarioes/status/1071017498764562432","1071017498764562432")</f>
        <v>1071017498764562432</v>
      </c>
      <c r="F1129" s="11" t="s">
        <v>4246</v>
      </c>
      <c r="G1129" s="11" t="s">
        <v>4247</v>
      </c>
      <c r="H1129" s="12"/>
      <c r="I1129" s="13">
        <v>6</v>
      </c>
      <c r="J1129" s="13">
        <v>9</v>
      </c>
      <c r="K1129" s="14" t="str">
        <f>HYPERLINK("https://about.twitter.com/products/tweetdeck","TweetDeck")</f>
        <v>TweetDeck</v>
      </c>
      <c r="L1129" s="13">
        <v>940167</v>
      </c>
      <c r="M1129" s="13">
        <v>456</v>
      </c>
      <c r="N1129" s="13">
        <v>11262</v>
      </c>
      <c r="O1129" s="18" t="s">
        <v>41</v>
      </c>
      <c r="P1129" s="6">
        <v>40992.839189814811</v>
      </c>
      <c r="Q1129" s="12"/>
      <c r="R1129" s="17" t="s">
        <v>643</v>
      </c>
      <c r="S1129" s="11" t="s">
        <v>644</v>
      </c>
      <c r="T1129" s="12"/>
      <c r="U1129" s="10" t="str">
        <f>HYPERLINK("https://pbs.twimg.com/profile_images/1016600645292511232/eYIkIK2s.jpg","View")</f>
        <v>View</v>
      </c>
    </row>
    <row r="1130" spans="1:21" ht="30.6">
      <c r="A1130" s="6">
        <v>43441.558124999996</v>
      </c>
      <c r="B1130" s="7" t="str">
        <f>HYPERLINK("https://twitter.com/periodicovzlano","@periodicovzlano")</f>
        <v>@periodicovzlano</v>
      </c>
      <c r="C1130" s="8" t="s">
        <v>869</v>
      </c>
      <c r="D1130" s="9" t="s">
        <v>714</v>
      </c>
      <c r="E1130" s="10" t="str">
        <f>HYPERLINK("https://twitter.com/periodicovzlano/status/1071017405390966784","1071017405390966784")</f>
        <v>1071017405390966784</v>
      </c>
      <c r="F1130" s="11" t="s">
        <v>737</v>
      </c>
      <c r="G1130" s="11" t="s">
        <v>4248</v>
      </c>
      <c r="H1130" s="12"/>
      <c r="I1130" s="13">
        <v>0</v>
      </c>
      <c r="J1130" s="13">
        <v>0</v>
      </c>
      <c r="K1130" s="14" t="str">
        <f>HYPERLINK("http://epmundo.com","Tuiteo TOP EP (1)")</f>
        <v>Tuiteo TOP EP (1)</v>
      </c>
      <c r="L1130" s="13">
        <v>479694</v>
      </c>
      <c r="M1130" s="13">
        <v>358804</v>
      </c>
      <c r="N1130" s="13">
        <v>1295</v>
      </c>
      <c r="O1130" s="15"/>
      <c r="P1130" s="6">
        <v>40663.3512962963</v>
      </c>
      <c r="Q1130" s="16" t="s">
        <v>871</v>
      </c>
      <c r="R1130" s="17" t="s">
        <v>872</v>
      </c>
      <c r="S1130" s="11" t="s">
        <v>873</v>
      </c>
      <c r="T1130" s="12"/>
      <c r="U1130" s="10" t="str">
        <f>HYPERLINK("https://pbs.twimg.com/profile_images/958328579250638849/MCz7Q8U6.jpg","View")</f>
        <v>View</v>
      </c>
    </row>
    <row r="1131" spans="1:21" ht="51">
      <c r="A1131" s="6">
        <v>43441.557291666672</v>
      </c>
      <c r="B1131" s="7" t="str">
        <f>HYPERLINK("https://twitter.com/Todo_Linares","@Todo_Linares")</f>
        <v>@Todo_Linares</v>
      </c>
      <c r="C1131" s="8" t="s">
        <v>4249</v>
      </c>
      <c r="D1131" s="9" t="s">
        <v>4250</v>
      </c>
      <c r="E1131" s="10" t="str">
        <f>HYPERLINK("https://twitter.com/Todo_Linares/status/1071017102499295232","1071017102499295232")</f>
        <v>1071017102499295232</v>
      </c>
      <c r="F1131" s="11" t="s">
        <v>4251</v>
      </c>
      <c r="G1131" s="12"/>
      <c r="H1131" s="12"/>
      <c r="I1131" s="13">
        <v>0</v>
      </c>
      <c r="J1131" s="13">
        <v>0</v>
      </c>
      <c r="K1131" s="14" t="str">
        <f>HYPERLINK("http://www.facebook.com/twitter","Facebook")</f>
        <v>Facebook</v>
      </c>
      <c r="L1131" s="13">
        <v>464</v>
      </c>
      <c r="M1131" s="13">
        <v>1175</v>
      </c>
      <c r="N1131" s="13">
        <v>13</v>
      </c>
      <c r="O1131" s="15"/>
      <c r="P1131" s="6">
        <v>41990.814212962963</v>
      </c>
      <c r="Q1131" s="16" t="s">
        <v>4252</v>
      </c>
      <c r="R1131" s="17" t="s">
        <v>4253</v>
      </c>
      <c r="S1131" s="11" t="s">
        <v>4254</v>
      </c>
      <c r="T1131" s="12"/>
      <c r="U1131" s="10" t="str">
        <f>HYPERLINK("https://pbs.twimg.com/profile_images/828329930186440704/_nWIW-5_.jpg","View")</f>
        <v>View</v>
      </c>
    </row>
    <row r="1132" spans="1:21" ht="30.6">
      <c r="A1132" s="6">
        <v>43441.556990740741</v>
      </c>
      <c r="B1132" s="7" t="str">
        <f>HYPERLINK("https://twitter.com/AleRodriguezGom","@AleRodriguezGom")</f>
        <v>@AleRodriguezGom</v>
      </c>
      <c r="C1132" s="8" t="s">
        <v>4255</v>
      </c>
      <c r="D1132" s="9" t="s">
        <v>4256</v>
      </c>
      <c r="E1132" s="10" t="str">
        <f>HYPERLINK("https://twitter.com/AleRodriguezGom/status/1071016994777038848","1071016994777038848")</f>
        <v>1071016994777038848</v>
      </c>
      <c r="F1132" s="11" t="s">
        <v>4257</v>
      </c>
      <c r="G1132" s="12"/>
      <c r="H1132" s="12"/>
      <c r="I1132" s="13">
        <v>0</v>
      </c>
      <c r="J1132" s="13">
        <v>0</v>
      </c>
      <c r="K1132" s="14" t="str">
        <f>HYPERLINK("https://www.google.com/","Google")</f>
        <v>Google</v>
      </c>
      <c r="L1132" s="13">
        <v>25</v>
      </c>
      <c r="M1132" s="13">
        <v>69</v>
      </c>
      <c r="N1132" s="13">
        <v>1</v>
      </c>
      <c r="O1132" s="15"/>
      <c r="P1132" s="6">
        <v>41325.650474537033</v>
      </c>
      <c r="Q1132" s="16" t="s">
        <v>60</v>
      </c>
      <c r="R1132" s="17" t="s">
        <v>4258</v>
      </c>
      <c r="S1132" s="12"/>
      <c r="T1132" s="12"/>
      <c r="U1132" s="10" t="str">
        <f>HYPERLINK("https://pbs.twimg.com/profile_images/1052467827922227205/10jg3haM.jpg","View")</f>
        <v>View</v>
      </c>
    </row>
    <row r="1133" spans="1:21" ht="51">
      <c r="A1133" s="6">
        <v>43441.556122685186</v>
      </c>
      <c r="B1133" s="7" t="str">
        <f>HYPERLINK("https://twitter.com/Capitan_JFlint","@Capitan_JFlint")</f>
        <v>@Capitan_JFlint</v>
      </c>
      <c r="C1133" s="8" t="s">
        <v>4259</v>
      </c>
      <c r="D1133" s="9" t="s">
        <v>4260</v>
      </c>
      <c r="E1133" s="10" t="str">
        <f>HYPERLINK("https://twitter.com/Capitan_JFlint/status/1071016678866194433","1071016678866194433")</f>
        <v>1071016678866194433</v>
      </c>
      <c r="F1133" s="11" t="s">
        <v>4261</v>
      </c>
      <c r="G1133" s="12"/>
      <c r="H1133" s="12"/>
      <c r="I1133" s="13">
        <v>0</v>
      </c>
      <c r="J1133" s="13">
        <v>0</v>
      </c>
      <c r="K1133" s="14" t="str">
        <f t="shared" ref="K1133:K1134" si="193">HYPERLINK("http://twitter.com/download/android","Twitter for Android")</f>
        <v>Twitter for Android</v>
      </c>
      <c r="L1133" s="13">
        <v>784</v>
      </c>
      <c r="M1133" s="13">
        <v>1063</v>
      </c>
      <c r="N1133" s="13">
        <v>2</v>
      </c>
      <c r="O1133" s="15"/>
      <c r="P1133" s="6">
        <v>43012.060706018514</v>
      </c>
      <c r="Q1133" s="12"/>
      <c r="R1133" s="17" t="s">
        <v>4262</v>
      </c>
      <c r="S1133" s="12"/>
      <c r="T1133" s="12"/>
      <c r="U1133" s="10" t="str">
        <f>HYPERLINK("https://pbs.twimg.com/profile_images/1045422582537818113/cQq_-eyW.jpg","View")</f>
        <v>View</v>
      </c>
    </row>
    <row r="1134" spans="1:21" ht="40.799999999999997">
      <c r="A1134" s="6">
        <v>43441.555659722224</v>
      </c>
      <c r="B1134" s="7" t="str">
        <f>HYPERLINK("https://twitter.com/linaresdeporte","@linaresdeporte")</f>
        <v>@linaresdeporte</v>
      </c>
      <c r="C1134" s="8" t="s">
        <v>4263</v>
      </c>
      <c r="D1134" s="9" t="s">
        <v>4264</v>
      </c>
      <c r="E1134" s="10" t="str">
        <f>HYPERLINK("https://twitter.com/linaresdeporte/status/1071016512960520197","1071016512960520197")</f>
        <v>1071016512960520197</v>
      </c>
      <c r="F1134" s="12"/>
      <c r="G1134" s="11" t="s">
        <v>4265</v>
      </c>
      <c r="H1134" s="12"/>
      <c r="I1134" s="13">
        <v>1</v>
      </c>
      <c r="J1134" s="13">
        <v>7</v>
      </c>
      <c r="K1134" s="14" t="str">
        <f t="shared" si="193"/>
        <v>Twitter for Android</v>
      </c>
      <c r="L1134" s="13">
        <v>3163</v>
      </c>
      <c r="M1134" s="13">
        <v>1690</v>
      </c>
      <c r="N1134" s="13">
        <v>32</v>
      </c>
      <c r="O1134" s="15"/>
      <c r="P1134" s="6">
        <v>41049.495000000003</v>
      </c>
      <c r="Q1134" s="16" t="s">
        <v>3253</v>
      </c>
      <c r="R1134" s="17" t="s">
        <v>4266</v>
      </c>
      <c r="S1134" s="11" t="s">
        <v>4267</v>
      </c>
      <c r="T1134" s="12"/>
      <c r="U1134" s="10" t="str">
        <f>HYPERLINK("https://pbs.twimg.com/profile_images/900706256444420097/yzMP6wlh.jpg","View")</f>
        <v>View</v>
      </c>
    </row>
    <row r="1135" spans="1:21" ht="20.399999999999999">
      <c r="A1135" s="6">
        <v>43441.555474537032</v>
      </c>
      <c r="B1135" s="7" t="str">
        <f>HYPERLINK("https://twitter.com/inmoaverycom","@inmoaverycom")</f>
        <v>@inmoaverycom</v>
      </c>
      <c r="C1135" s="20" t="s">
        <v>4268</v>
      </c>
      <c r="D1135" s="9" t="s">
        <v>4269</v>
      </c>
      <c r="E1135" s="10" t="str">
        <f>HYPERLINK("https://twitter.com/inmoaverycom/status/1071016443230253056","1071016443230253056")</f>
        <v>1071016443230253056</v>
      </c>
      <c r="F1135" s="11" t="s">
        <v>4270</v>
      </c>
      <c r="G1135" s="12"/>
      <c r="H1135" s="12"/>
      <c r="I1135" s="13">
        <v>0</v>
      </c>
      <c r="J1135" s="13">
        <v>0</v>
      </c>
      <c r="K1135" s="14" t="str">
        <f>HYPERLINK("http://twitter.com","Twitter Web Client")</f>
        <v>Twitter Web Client</v>
      </c>
      <c r="L1135" s="13">
        <v>769</v>
      </c>
      <c r="M1135" s="13">
        <v>1966</v>
      </c>
      <c r="N1135" s="13">
        <v>11</v>
      </c>
      <c r="O1135" s="15"/>
      <c r="P1135" s="6">
        <v>40871.533506944441</v>
      </c>
      <c r="Q1135" s="16" t="s">
        <v>4271</v>
      </c>
      <c r="R1135" s="17" t="s">
        <v>4272</v>
      </c>
      <c r="S1135" s="11" t="s">
        <v>4273</v>
      </c>
      <c r="T1135" s="12"/>
      <c r="U1135" s="10" t="str">
        <f>HYPERLINK("https://pbs.twimg.com/profile_images/537680086862798848/f8XEPU_F.jpeg","View")</f>
        <v>View</v>
      </c>
    </row>
    <row r="1136" spans="1:21" ht="20.399999999999999">
      <c r="A1136" s="6">
        <v>43441.554201388892</v>
      </c>
      <c r="B1136" s="7" t="str">
        <f>HYPERLINK("https://twitter.com/OxigenoActivo","@OxigenoActivo")</f>
        <v>@OxigenoActivo</v>
      </c>
      <c r="C1136" s="8" t="s">
        <v>4274</v>
      </c>
      <c r="D1136" s="9" t="s">
        <v>2253</v>
      </c>
      <c r="E1136" s="10" t="str">
        <f>HYPERLINK("https://twitter.com/OxigenoActivo/status/1071015983576313856","1071015983576313856")</f>
        <v>1071015983576313856</v>
      </c>
      <c r="F1136" s="11" t="s">
        <v>4275</v>
      </c>
      <c r="G1136" s="11" t="s">
        <v>4276</v>
      </c>
      <c r="H1136" s="12"/>
      <c r="I1136" s="13">
        <v>0</v>
      </c>
      <c r="J1136" s="13">
        <v>0</v>
      </c>
      <c r="K1136" s="14" t="str">
        <f>HYPERLINK("https://dlvrit.com/","dlvr.it")</f>
        <v>dlvr.it</v>
      </c>
      <c r="L1136" s="13">
        <v>1342</v>
      </c>
      <c r="M1136" s="13">
        <v>1104</v>
      </c>
      <c r="N1136" s="13">
        <v>22</v>
      </c>
      <c r="O1136" s="15"/>
      <c r="P1136" s="6">
        <v>41169.699247685188</v>
      </c>
      <c r="Q1136" s="16" t="s">
        <v>1116</v>
      </c>
      <c r="R1136" s="17" t="s">
        <v>4277</v>
      </c>
      <c r="S1136" s="12"/>
      <c r="T1136" s="12"/>
      <c r="U1136" s="10" t="str">
        <f>HYPERLINK("https://pbs.twimg.com/profile_images/809009178228523008/TpE1FJOh.jpg","View")</f>
        <v>View</v>
      </c>
    </row>
    <row r="1137" spans="1:21" ht="40.799999999999997">
      <c r="A1137" s="6">
        <v>43441.554085648153</v>
      </c>
      <c r="B1137" s="7" t="str">
        <f>HYPERLINK("https://twitter.com/JLP11959","@JLP11959")</f>
        <v>@JLP11959</v>
      </c>
      <c r="C1137" s="8" t="s">
        <v>4278</v>
      </c>
      <c r="D1137" s="9" t="s">
        <v>4279</v>
      </c>
      <c r="E1137" s="10" t="str">
        <f>HYPERLINK("https://twitter.com/JLP11959/status/1071015940085682176","1071015940085682176")</f>
        <v>1071015940085682176</v>
      </c>
      <c r="F1137" s="11" t="s">
        <v>4280</v>
      </c>
      <c r="G1137" s="12"/>
      <c r="H1137" s="12"/>
      <c r="I1137" s="13">
        <v>3</v>
      </c>
      <c r="J1137" s="13">
        <v>3</v>
      </c>
      <c r="K1137" s="14" t="str">
        <f>HYPERLINK("http://twitter.com/download/android","Twitter for Android")</f>
        <v>Twitter for Android</v>
      </c>
      <c r="L1137" s="13">
        <v>5706</v>
      </c>
      <c r="M1137" s="13">
        <v>4329</v>
      </c>
      <c r="N1137" s="13">
        <v>19</v>
      </c>
      <c r="O1137" s="15"/>
      <c r="P1137" s="6">
        <v>42259.751666666663</v>
      </c>
      <c r="Q1137" s="16" t="s">
        <v>4281</v>
      </c>
      <c r="R1137" s="17" t="s">
        <v>4282</v>
      </c>
      <c r="S1137" s="12"/>
      <c r="T1137" s="12"/>
      <c r="U1137" s="10" t="str">
        <f>HYPERLINK("https://pbs.twimg.com/profile_images/716610355330473984/VlwAwNbi.jpg","View")</f>
        <v>View</v>
      </c>
    </row>
    <row r="1138" spans="1:21" ht="30.6">
      <c r="A1138" s="6">
        <v>43441.553877314815</v>
      </c>
      <c r="B1138" s="7" t="str">
        <f>HYPERLINK("https://twitter.com/MarinAntCP","@MarinAntCP")</f>
        <v>@MarinAntCP</v>
      </c>
      <c r="C1138" s="8" t="s">
        <v>4283</v>
      </c>
      <c r="D1138" s="9" t="s">
        <v>4284</v>
      </c>
      <c r="E1138" s="10" t="str">
        <f>HYPERLINK("https://twitter.com/MarinAntCP/status/1071015866584653829","1071015866584653829")</f>
        <v>1071015866584653829</v>
      </c>
      <c r="F1138" s="11" t="s">
        <v>4285</v>
      </c>
      <c r="G1138" s="11" t="s">
        <v>4286</v>
      </c>
      <c r="H1138" s="12"/>
      <c r="I1138" s="13">
        <v>0</v>
      </c>
      <c r="J1138" s="13">
        <v>0</v>
      </c>
      <c r="K1138" s="14" t="str">
        <f>HYPERLINK("https://dlvrit.com/","dlvr.it")</f>
        <v>dlvr.it</v>
      </c>
      <c r="L1138" s="13">
        <v>321</v>
      </c>
      <c r="M1138" s="13">
        <v>350</v>
      </c>
      <c r="N1138" s="13">
        <v>36</v>
      </c>
      <c r="O1138" s="15"/>
      <c r="P1138" s="6">
        <v>42263.541458333333</v>
      </c>
      <c r="Q1138" s="16" t="s">
        <v>26</v>
      </c>
      <c r="R1138" s="17" t="s">
        <v>4287</v>
      </c>
      <c r="S1138" s="11" t="s">
        <v>4288</v>
      </c>
      <c r="T1138" s="12"/>
      <c r="U1138" s="10" t="str">
        <f>HYPERLINK("https://pbs.twimg.com/profile_images/1030184395834044418/b87kalP7.jpg","View")</f>
        <v>View</v>
      </c>
    </row>
    <row r="1139" spans="1:21" ht="40.799999999999997">
      <c r="A1139" s="6">
        <v>43441.553356481483</v>
      </c>
      <c r="B1139" s="7" t="str">
        <f>HYPERLINK("https://twitter.com/Sneca5","@Sneca5")</f>
        <v>@Sneca5</v>
      </c>
      <c r="C1139" s="8" t="s">
        <v>4289</v>
      </c>
      <c r="D1139" s="9" t="s">
        <v>4290</v>
      </c>
      <c r="E1139" s="10" t="str">
        <f>HYPERLINK("https://twitter.com/Sneca5/status/1071015677312552961","1071015677312552961")</f>
        <v>1071015677312552961</v>
      </c>
      <c r="F1139" s="12"/>
      <c r="G1139" s="12"/>
      <c r="H1139" s="12"/>
      <c r="I1139" s="13">
        <v>0</v>
      </c>
      <c r="J1139" s="13">
        <v>0</v>
      </c>
      <c r="K1139" s="14" t="str">
        <f>HYPERLINK("https://mobile.twitter.com","Twitter Lite")</f>
        <v>Twitter Lite</v>
      </c>
      <c r="L1139" s="13">
        <v>12</v>
      </c>
      <c r="M1139" s="13">
        <v>43</v>
      </c>
      <c r="N1139" s="13">
        <v>0</v>
      </c>
      <c r="O1139" s="15"/>
      <c r="P1139" s="6">
        <v>42846.454699074078</v>
      </c>
      <c r="Q1139" s="16" t="s">
        <v>3784</v>
      </c>
      <c r="R1139" s="17" t="s">
        <v>4291</v>
      </c>
      <c r="S1139" s="12"/>
      <c r="T1139" s="12"/>
      <c r="U1139" s="10" t="str">
        <f>HYPERLINK("https://pbs.twimg.com/profile_images/855346109450997760/LlEE2uYl.jpg","View")</f>
        <v>View</v>
      </c>
    </row>
    <row r="1140" spans="1:21" ht="20.399999999999999">
      <c r="A1140" s="6">
        <v>43441.552256944444</v>
      </c>
      <c r="B1140" s="7" t="str">
        <f>HYPERLINK("https://twitter.com/llewro","@llewro")</f>
        <v>@llewro</v>
      </c>
      <c r="C1140" s="8" t="s">
        <v>4292</v>
      </c>
      <c r="D1140" s="9" t="s">
        <v>4293</v>
      </c>
      <c r="E1140" s="10" t="str">
        <f>HYPERLINK("https://twitter.com/llewro/status/1071015280283934722","1071015280283934722")</f>
        <v>1071015280283934722</v>
      </c>
      <c r="F1140" s="11" t="s">
        <v>4294</v>
      </c>
      <c r="G1140" s="12"/>
      <c r="H1140" s="12"/>
      <c r="I1140" s="13">
        <v>0</v>
      </c>
      <c r="J1140" s="13">
        <v>1</v>
      </c>
      <c r="K1140" s="14" t="str">
        <f>HYPERLINK("http://twitter.com/download/iphone","Twitter for iPhone")</f>
        <v>Twitter for iPhone</v>
      </c>
      <c r="L1140" s="13">
        <v>192</v>
      </c>
      <c r="M1140" s="13">
        <v>298</v>
      </c>
      <c r="N1140" s="13">
        <v>1</v>
      </c>
      <c r="O1140" s="15"/>
      <c r="P1140" s="6">
        <v>41943.9533912037</v>
      </c>
      <c r="Q1140" s="12"/>
      <c r="R1140" s="17">
        <v>1984</v>
      </c>
      <c r="S1140" s="12"/>
      <c r="T1140" s="12"/>
      <c r="U1140" s="10" t="str">
        <f>HYPERLINK("https://pbs.twimg.com/profile_images/621749837021736960/_Cq0SOeu.jpg","View")</f>
        <v>View</v>
      </c>
    </row>
    <row r="1141" spans="1:21" ht="20.399999999999999">
      <c r="A1141" s="6">
        <v>43441.552025462966</v>
      </c>
      <c r="B1141" s="7" t="str">
        <f>HYPERLINK("https://twitter.com/JosMorenoValera","@JosMorenoValera")</f>
        <v>@JosMorenoValera</v>
      </c>
      <c r="C1141" s="8" t="s">
        <v>4295</v>
      </c>
      <c r="D1141" s="9" t="s">
        <v>1903</v>
      </c>
      <c r="E1141" s="10" t="str">
        <f>HYPERLINK("https://twitter.com/JosMorenoValera/status/1071015196443975682","1071015196443975682")</f>
        <v>1071015196443975682</v>
      </c>
      <c r="F1141" s="11" t="s">
        <v>3561</v>
      </c>
      <c r="G1141" s="12"/>
      <c r="H1141" s="12"/>
      <c r="I1141" s="13">
        <v>0</v>
      </c>
      <c r="J1141" s="13">
        <v>0</v>
      </c>
      <c r="K1141" s="14" t="str">
        <f>HYPERLINK("http://twitter.com","Twitter Web Client")</f>
        <v>Twitter Web Client</v>
      </c>
      <c r="L1141" s="13">
        <v>1720</v>
      </c>
      <c r="M1141" s="13">
        <v>1558</v>
      </c>
      <c r="N1141" s="13">
        <v>25</v>
      </c>
      <c r="O1141" s="15"/>
      <c r="P1141" s="6">
        <v>41051.700011574074</v>
      </c>
      <c r="Q1141" s="16" t="s">
        <v>2625</v>
      </c>
      <c r="R1141" s="17" t="s">
        <v>4296</v>
      </c>
      <c r="S1141" s="12"/>
      <c r="T1141" s="12"/>
      <c r="U1141" s="10" t="str">
        <f>HYPERLINK("https://pbs.twimg.com/profile_images/915617435029524481/S-iS0ose.jpg","View")</f>
        <v>View</v>
      </c>
    </row>
    <row r="1142" spans="1:21" ht="13.2">
      <c r="A1142" s="6">
        <v>43441.551932870367</v>
      </c>
      <c r="B1142" s="7" t="str">
        <f>HYPERLINK("https://twitter.com/jcdelos13","@jcdelos13")</f>
        <v>@jcdelos13</v>
      </c>
      <c r="C1142" s="8" t="s">
        <v>4297</v>
      </c>
      <c r="D1142" s="9" t="s">
        <v>1175</v>
      </c>
      <c r="E1142" s="10" t="str">
        <f>HYPERLINK("https://twitter.com/jcdelos13/status/1071015158783328256","1071015158783328256")</f>
        <v>1071015158783328256</v>
      </c>
      <c r="F1142" s="11" t="s">
        <v>1176</v>
      </c>
      <c r="G1142" s="12"/>
      <c r="H1142" s="12"/>
      <c r="I1142" s="13">
        <v>0</v>
      </c>
      <c r="J1142" s="13">
        <v>1</v>
      </c>
      <c r="K1142" s="14" t="str">
        <f t="shared" ref="K1142:K1144" si="194">HYPERLINK("http://twitter.com/download/android","Twitter for Android")</f>
        <v>Twitter for Android</v>
      </c>
      <c r="L1142" s="13">
        <v>45</v>
      </c>
      <c r="M1142" s="13">
        <v>213</v>
      </c>
      <c r="N1142" s="13">
        <v>0</v>
      </c>
      <c r="O1142" s="15"/>
      <c r="P1142" s="6">
        <v>41257.44672453704</v>
      </c>
      <c r="Q1142" s="12"/>
      <c r="R1142" s="17" t="s">
        <v>4298</v>
      </c>
      <c r="S1142" s="12"/>
      <c r="T1142" s="12"/>
      <c r="U1142" s="10" t="str">
        <f>HYPERLINK("https://pbs.twimg.com/profile_images/978643212716986369/e-sGPWam.jpg","View")</f>
        <v>View</v>
      </c>
    </row>
    <row r="1143" spans="1:21" ht="51">
      <c r="A1143" s="6">
        <v>43441.551250000004</v>
      </c>
      <c r="B1143" s="7" t="str">
        <f>HYPERLINK("https://twitter.com/SOQ1960","@SOQ1960")</f>
        <v>@SOQ1960</v>
      </c>
      <c r="C1143" s="8" t="s">
        <v>4299</v>
      </c>
      <c r="D1143" s="9" t="s">
        <v>4300</v>
      </c>
      <c r="E1143" s="10" t="str">
        <f>HYPERLINK("https://twitter.com/SOQ1960/status/1071014913169080320","1071014913169080320")</f>
        <v>1071014913169080320</v>
      </c>
      <c r="F1143" s="11" t="s">
        <v>576</v>
      </c>
      <c r="G1143" s="12"/>
      <c r="H1143" s="12"/>
      <c r="I1143" s="13">
        <v>1</v>
      </c>
      <c r="J1143" s="13">
        <v>0</v>
      </c>
      <c r="K1143" s="14" t="str">
        <f t="shared" si="194"/>
        <v>Twitter for Android</v>
      </c>
      <c r="L1143" s="13">
        <v>412</v>
      </c>
      <c r="M1143" s="13">
        <v>505</v>
      </c>
      <c r="N1143" s="13">
        <v>1</v>
      </c>
      <c r="O1143" s="15"/>
      <c r="P1143" s="6">
        <v>41834.796018518522</v>
      </c>
      <c r="Q1143" s="16" t="s">
        <v>4301</v>
      </c>
      <c r="R1143" s="17" t="s">
        <v>4302</v>
      </c>
      <c r="S1143" s="12"/>
      <c r="T1143" s="12"/>
      <c r="U1143" s="10" t="str">
        <f>HYPERLINK("https://pbs.twimg.com/profile_images/488735218765811714/w0t2y6yz.jpeg","View")</f>
        <v>View</v>
      </c>
    </row>
    <row r="1144" spans="1:21" ht="20.399999999999999">
      <c r="A1144" s="6">
        <v>43441.550416666665</v>
      </c>
      <c r="B1144" s="7" t="str">
        <f>HYPERLINK("https://twitter.com/UnTioNormal_XD","@UnTioNormal_XD")</f>
        <v>@UnTioNormal_XD</v>
      </c>
      <c r="C1144" s="8" t="s">
        <v>4303</v>
      </c>
      <c r="D1144" s="9" t="s">
        <v>4304</v>
      </c>
      <c r="E1144" s="10" t="str">
        <f>HYPERLINK("https://twitter.com/UnTioNormal_XD/status/1071014612634619904","1071014612634619904")</f>
        <v>1071014612634619904</v>
      </c>
      <c r="F1144" s="12"/>
      <c r="G1144" s="11" t="s">
        <v>4305</v>
      </c>
      <c r="H1144" s="12"/>
      <c r="I1144" s="13">
        <v>2</v>
      </c>
      <c r="J1144" s="13">
        <v>2</v>
      </c>
      <c r="K1144" s="14" t="str">
        <f t="shared" si="194"/>
        <v>Twitter for Android</v>
      </c>
      <c r="L1144" s="13">
        <v>747</v>
      </c>
      <c r="M1144" s="13">
        <v>819</v>
      </c>
      <c r="N1144" s="13">
        <v>5</v>
      </c>
      <c r="O1144" s="15"/>
      <c r="P1144" s="6">
        <v>43224.458923611106</v>
      </c>
      <c r="Q1144" s="16" t="s">
        <v>4306</v>
      </c>
      <c r="R1144" s="17" t="s">
        <v>4307</v>
      </c>
      <c r="S1144" s="11" t="s">
        <v>4308</v>
      </c>
      <c r="T1144" s="12"/>
      <c r="U1144" s="10" t="str">
        <f>HYPERLINK("https://pbs.twimg.com/profile_images/1040347447472607232/ATERJYi_.jpg","View")</f>
        <v>View</v>
      </c>
    </row>
    <row r="1145" spans="1:21" ht="30.6">
      <c r="A1145" s="6">
        <v>43441.550416666665</v>
      </c>
      <c r="B1145" s="7" t="str">
        <f>HYPERLINK("https://twitter.com/antirojo4","@antirojo4")</f>
        <v>@antirojo4</v>
      </c>
      <c r="C1145" s="8" t="s">
        <v>1284</v>
      </c>
      <c r="D1145" s="9" t="s">
        <v>2269</v>
      </c>
      <c r="E1145" s="10" t="str">
        <f>HYPERLINK("https://twitter.com/antirojo4/status/1071014610390650880","1071014610390650880")</f>
        <v>1071014610390650880</v>
      </c>
      <c r="F1145" s="11" t="s">
        <v>2270</v>
      </c>
      <c r="G1145" s="12"/>
      <c r="H1145" s="12"/>
      <c r="I1145" s="13">
        <v>0</v>
      </c>
      <c r="J1145" s="13">
        <v>0</v>
      </c>
      <c r="K1145" s="14" t="str">
        <f>HYPERLINK("http://twitter.com","Twitter Web Client")</f>
        <v>Twitter Web Client</v>
      </c>
      <c r="L1145" s="13">
        <v>244</v>
      </c>
      <c r="M1145" s="13">
        <v>255</v>
      </c>
      <c r="N1145" s="13">
        <v>0</v>
      </c>
      <c r="O1145" s="15"/>
      <c r="P1145" s="6">
        <v>42806.547418981485</v>
      </c>
      <c r="Q1145" s="16" t="s">
        <v>26</v>
      </c>
      <c r="R1145" s="17" t="s">
        <v>1285</v>
      </c>
      <c r="S1145" s="12"/>
      <c r="T1145" s="12"/>
      <c r="U1145" s="10" t="str">
        <f>HYPERLINK("https://pbs.twimg.com/profile_images/840907570093162496/GL37nR5L.jpg","View")</f>
        <v>View</v>
      </c>
    </row>
    <row r="1146" spans="1:21" ht="20.399999999999999">
      <c r="A1146" s="6">
        <v>43441.550150462965</v>
      </c>
      <c r="B1146" s="7" t="str">
        <f>HYPERLINK("https://twitter.com/verbolsacom","@verbolsacom")</f>
        <v>@verbolsacom</v>
      </c>
      <c r="C1146" s="8" t="s">
        <v>4309</v>
      </c>
      <c r="D1146" s="9" t="s">
        <v>4310</v>
      </c>
      <c r="E1146" s="10" t="str">
        <f>HYPERLINK("https://twitter.com/verbolsacom/status/1071014516236931072","1071014516236931072")</f>
        <v>1071014516236931072</v>
      </c>
      <c r="F1146" s="11" t="s">
        <v>4311</v>
      </c>
      <c r="G1146" s="12"/>
      <c r="H1146" s="12"/>
      <c r="I1146" s="13">
        <v>0</v>
      </c>
      <c r="J1146" s="13">
        <v>0</v>
      </c>
      <c r="K1146" s="14" t="str">
        <f>HYPERLINK("https://www.google.com/","Google")</f>
        <v>Google</v>
      </c>
      <c r="L1146" s="13">
        <v>24</v>
      </c>
      <c r="M1146" s="13">
        <v>37</v>
      </c>
      <c r="N1146" s="13">
        <v>3</v>
      </c>
      <c r="O1146" s="15"/>
      <c r="P1146" s="6">
        <v>39724.398900462962</v>
      </c>
      <c r="Q1146" s="16" t="s">
        <v>26</v>
      </c>
      <c r="R1146" s="17" t="s">
        <v>4312</v>
      </c>
      <c r="S1146" s="11" t="s">
        <v>4313</v>
      </c>
      <c r="T1146" s="12"/>
      <c r="U1146" s="10" t="str">
        <f>HYPERLINK("https://pbs.twimg.com/profile_images/668410529371856896/qG5-h66G.png","View")</f>
        <v>View</v>
      </c>
    </row>
    <row r="1147" spans="1:21" ht="40.799999999999997">
      <c r="A1147" s="6">
        <v>43441.549502314811</v>
      </c>
      <c r="B1147" s="7" t="str">
        <f>HYPERLINK("https://twitter.com/isaacj","@isaacj")</f>
        <v>@isaacj</v>
      </c>
      <c r="C1147" s="8" t="s">
        <v>4314</v>
      </c>
      <c r="D1147" s="9" t="s">
        <v>2269</v>
      </c>
      <c r="E1147" s="10" t="str">
        <f>HYPERLINK("https://twitter.com/isaacj/status/1071014280307400704","1071014280307400704")</f>
        <v>1071014280307400704</v>
      </c>
      <c r="F1147" s="11" t="s">
        <v>2270</v>
      </c>
      <c r="G1147" s="12"/>
      <c r="H1147" s="12"/>
      <c r="I1147" s="13">
        <v>0</v>
      </c>
      <c r="J1147" s="13">
        <v>0</v>
      </c>
      <c r="K1147" s="14" t="str">
        <f>HYPERLINK("http://twitter.com/download/android","Twitter for Android")</f>
        <v>Twitter for Android</v>
      </c>
      <c r="L1147" s="13">
        <v>6921</v>
      </c>
      <c r="M1147" s="13">
        <v>1958</v>
      </c>
      <c r="N1147" s="13">
        <v>313</v>
      </c>
      <c r="O1147" s="15"/>
      <c r="P1147" s="6">
        <v>39396.002615740741</v>
      </c>
      <c r="Q1147" s="12"/>
      <c r="R1147" s="17" t="s">
        <v>4315</v>
      </c>
      <c r="S1147" s="11" t="s">
        <v>4316</v>
      </c>
      <c r="T1147" s="12"/>
      <c r="U1147" s="10" t="str">
        <f>HYPERLINK("https://pbs.twimg.com/profile_images/1064871384873078784/u-JgAUwP.jpg","View")</f>
        <v>View</v>
      </c>
    </row>
    <row r="1148" spans="1:21" ht="20.399999999999999">
      <c r="A1148" s="6">
        <v>43441.548159722224</v>
      </c>
      <c r="B1148" s="7" t="str">
        <f>HYPERLINK("https://twitter.com/cuin1425","@cuin1425")</f>
        <v>@cuin1425</v>
      </c>
      <c r="C1148" s="8" t="s">
        <v>2120</v>
      </c>
      <c r="D1148" s="9" t="s">
        <v>1524</v>
      </c>
      <c r="E1148" s="10" t="str">
        <f>HYPERLINK("https://twitter.com/cuin1425/status/1071013793428373505","1071013793428373505")</f>
        <v>1071013793428373505</v>
      </c>
      <c r="F1148" s="11" t="s">
        <v>115</v>
      </c>
      <c r="G1148" s="12"/>
      <c r="H1148" s="12"/>
      <c r="I1148" s="13">
        <v>0</v>
      </c>
      <c r="J1148" s="13">
        <v>0</v>
      </c>
      <c r="K1148" s="14" t="str">
        <f>HYPERLINK("http://www.facebook.com/twitter","Facebook")</f>
        <v>Facebook</v>
      </c>
      <c r="L1148" s="13">
        <v>580</v>
      </c>
      <c r="M1148" s="13">
        <v>977</v>
      </c>
      <c r="N1148" s="13">
        <v>13</v>
      </c>
      <c r="O1148" s="15"/>
      <c r="P1148" s="6">
        <v>40274.437928240739</v>
      </c>
      <c r="Q1148" s="16" t="s">
        <v>2123</v>
      </c>
      <c r="R1148" s="17" t="s">
        <v>2124</v>
      </c>
      <c r="S1148" s="12"/>
      <c r="T1148" s="12"/>
      <c r="U1148" s="10" t="str">
        <f>HYPERLINK("https://pbs.twimg.com/profile_images/820055555305832448/qbgSwEuX.jpg","View")</f>
        <v>View</v>
      </c>
    </row>
    <row r="1149" spans="1:21" ht="30.6">
      <c r="A1149" s="6">
        <v>43441.546412037038</v>
      </c>
      <c r="B1149" s="7" t="str">
        <f>HYPERLINK("https://twitter.com/ArianChay","@ArianChay")</f>
        <v>@ArianChay</v>
      </c>
      <c r="C1149" s="8" t="s">
        <v>4317</v>
      </c>
      <c r="D1149" s="9" t="s">
        <v>4318</v>
      </c>
      <c r="E1149" s="10" t="str">
        <f>HYPERLINK("https://twitter.com/ArianChay/status/1071013160738529280","1071013160738529280")</f>
        <v>1071013160738529280</v>
      </c>
      <c r="F1149" s="11" t="s">
        <v>246</v>
      </c>
      <c r="G1149" s="12"/>
      <c r="H1149" s="12"/>
      <c r="I1149" s="13">
        <v>0</v>
      </c>
      <c r="J1149" s="13">
        <v>0</v>
      </c>
      <c r="K1149" s="14" t="str">
        <f>HYPERLINK("http://twitter.com/download/android","Twitter for Android")</f>
        <v>Twitter for Android</v>
      </c>
      <c r="L1149" s="13">
        <v>177</v>
      </c>
      <c r="M1149" s="13">
        <v>97</v>
      </c>
      <c r="N1149" s="13">
        <v>6</v>
      </c>
      <c r="O1149" s="15"/>
      <c r="P1149" s="6">
        <v>42163.727013888885</v>
      </c>
      <c r="Q1149" s="12"/>
      <c r="R1149" s="19"/>
      <c r="S1149" s="12"/>
      <c r="T1149" s="12"/>
      <c r="U1149" s="10" t="str">
        <f>HYPERLINK("https://pbs.twimg.com/profile_images/1058779406955622400/fnOhNMVS.jpg","View")</f>
        <v>View</v>
      </c>
    </row>
    <row r="1150" spans="1:21" ht="30.6">
      <c r="A1150" s="6">
        <v>43441.546041666668</v>
      </c>
      <c r="B1150" s="7" t="str">
        <f>HYPERLINK("https://twitter.com/11plr","@11plr")</f>
        <v>@11plr</v>
      </c>
      <c r="C1150" s="8" t="s">
        <v>4319</v>
      </c>
      <c r="D1150" s="9" t="s">
        <v>4320</v>
      </c>
      <c r="E1150" s="10" t="str">
        <f>HYPERLINK("https://twitter.com/11plr/status/1071013026034262017","1071013026034262017")</f>
        <v>1071013026034262017</v>
      </c>
      <c r="F1150" s="11" t="s">
        <v>3561</v>
      </c>
      <c r="G1150" s="12"/>
      <c r="H1150" s="12"/>
      <c r="I1150" s="13">
        <v>0</v>
      </c>
      <c r="J1150" s="13">
        <v>0</v>
      </c>
      <c r="K1150" s="14" t="str">
        <f t="shared" ref="K1150:K1151" si="195">HYPERLINK("http://twitter.com","Twitter Web Client")</f>
        <v>Twitter Web Client</v>
      </c>
      <c r="L1150" s="13">
        <v>427</v>
      </c>
      <c r="M1150" s="13">
        <v>1271</v>
      </c>
      <c r="N1150" s="13">
        <v>30</v>
      </c>
      <c r="O1150" s="15"/>
      <c r="P1150" s="6">
        <v>39994.820254629631</v>
      </c>
      <c r="Q1150" s="12"/>
      <c r="R1150" s="17" t="s">
        <v>4321</v>
      </c>
      <c r="S1150" s="11" t="s">
        <v>4322</v>
      </c>
      <c r="T1150" s="12"/>
      <c r="U1150" s="10" t="str">
        <f>HYPERLINK("https://pbs.twimg.com/profile_images/622507144424914944/vWk8mG16.jpg","View")</f>
        <v>View</v>
      </c>
    </row>
    <row r="1151" spans="1:21" ht="20.399999999999999">
      <c r="A1151" s="6">
        <v>43441.546018518522</v>
      </c>
      <c r="B1151" s="7" t="str">
        <f>HYPERLINK("https://twitter.com/carlosros41","@carlosros41")</f>
        <v>@carlosros41</v>
      </c>
      <c r="C1151" s="8" t="s">
        <v>4323</v>
      </c>
      <c r="D1151" s="9" t="s">
        <v>3317</v>
      </c>
      <c r="E1151" s="10" t="str">
        <f>HYPERLINK("https://twitter.com/carlosros41/status/1071013018308366337","1071013018308366337")</f>
        <v>1071013018308366337</v>
      </c>
      <c r="F1151" s="11" t="s">
        <v>4324</v>
      </c>
      <c r="G1151" s="12"/>
      <c r="H1151" s="12"/>
      <c r="I1151" s="13">
        <v>3</v>
      </c>
      <c r="J1151" s="13">
        <v>3</v>
      </c>
      <c r="K1151" s="14" t="str">
        <f t="shared" si="195"/>
        <v>Twitter Web Client</v>
      </c>
      <c r="L1151" s="13">
        <v>884</v>
      </c>
      <c r="M1151" s="13">
        <v>216</v>
      </c>
      <c r="N1151" s="13">
        <v>9</v>
      </c>
      <c r="O1151" s="15"/>
      <c r="P1151" s="6">
        <v>41615.688773148147</v>
      </c>
      <c r="Q1151" s="16" t="s">
        <v>1073</v>
      </c>
      <c r="R1151" s="17" t="s">
        <v>4325</v>
      </c>
      <c r="S1151" s="11" t="s">
        <v>4326</v>
      </c>
      <c r="T1151" s="12"/>
      <c r="U1151" s="10" t="str">
        <f>HYPERLINK("https://pbs.twimg.com/profile_images/1067888886972596224/g678K72k.jpg","View")</f>
        <v>View</v>
      </c>
    </row>
    <row r="1152" spans="1:21" ht="30.6">
      <c r="A1152" s="6">
        <v>43441.545740740738</v>
      </c>
      <c r="B1152" s="7" t="str">
        <f>HYPERLINK("https://twitter.com/GPinar_Pena","@GPinar_Pena")</f>
        <v>@GPinar_Pena</v>
      </c>
      <c r="C1152" s="8" t="s">
        <v>4327</v>
      </c>
      <c r="D1152" s="9" t="s">
        <v>3317</v>
      </c>
      <c r="E1152" s="10" t="str">
        <f>HYPERLINK("https://twitter.com/GPinar_Pena/status/1071012915308834817","1071012915308834817")</f>
        <v>1071012915308834817</v>
      </c>
      <c r="F1152" s="11" t="s">
        <v>2509</v>
      </c>
      <c r="G1152" s="12"/>
      <c r="H1152" s="12"/>
      <c r="I1152" s="13">
        <v>0</v>
      </c>
      <c r="J1152" s="13">
        <v>0</v>
      </c>
      <c r="K1152" s="14" t="str">
        <f>HYPERLINK("http://twitter.com/download/android","Twitter for Android")</f>
        <v>Twitter for Android</v>
      </c>
      <c r="L1152" s="13">
        <v>878</v>
      </c>
      <c r="M1152" s="13">
        <v>1177</v>
      </c>
      <c r="N1152" s="13">
        <v>6</v>
      </c>
      <c r="O1152" s="15"/>
      <c r="P1152" s="6">
        <v>42687.487858796296</v>
      </c>
      <c r="Q1152" s="16" t="s">
        <v>1116</v>
      </c>
      <c r="R1152" s="17" t="s">
        <v>4328</v>
      </c>
      <c r="S1152" s="12"/>
      <c r="T1152" s="12"/>
      <c r="U1152" s="10" t="str">
        <f>HYPERLINK("https://pbs.twimg.com/profile_images/1040498387131539456/R3stIC89.jpg","View")</f>
        <v>View</v>
      </c>
    </row>
    <row r="1153" spans="1:21" ht="30.6">
      <c r="A1153" s="6">
        <v>43441.545358796298</v>
      </c>
      <c r="B1153" s="7" t="str">
        <f>HYPERLINK("https://twitter.com/ppmadrid","@ppmadrid")</f>
        <v>@ppmadrid</v>
      </c>
      <c r="C1153" s="8" t="s">
        <v>4329</v>
      </c>
      <c r="D1153" s="9" t="s">
        <v>4330</v>
      </c>
      <c r="E1153" s="10" t="str">
        <f>HYPERLINK("https://twitter.com/ppmadrid/status/1071012778880745474","1071012778880745474")</f>
        <v>1071012778880745474</v>
      </c>
      <c r="F1153" s="11" t="s">
        <v>4331</v>
      </c>
      <c r="G1153" s="12"/>
      <c r="H1153" s="12"/>
      <c r="I1153" s="13">
        <v>29</v>
      </c>
      <c r="J1153" s="13">
        <v>50</v>
      </c>
      <c r="K1153" s="14" t="str">
        <f>HYPERLINK("http://twitter.com/download/iphone","Twitter for iPhone")</f>
        <v>Twitter for iPhone</v>
      </c>
      <c r="L1153" s="13">
        <v>101951</v>
      </c>
      <c r="M1153" s="13">
        <v>5995</v>
      </c>
      <c r="N1153" s="13">
        <v>982</v>
      </c>
      <c r="O1153" s="18" t="s">
        <v>41</v>
      </c>
      <c r="P1153" s="6">
        <v>39827.687893518516</v>
      </c>
      <c r="Q1153" s="16" t="s">
        <v>1116</v>
      </c>
      <c r="R1153" s="17" t="s">
        <v>4332</v>
      </c>
      <c r="S1153" s="11" t="s">
        <v>1678</v>
      </c>
      <c r="T1153" s="12"/>
      <c r="U1153" s="10" t="str">
        <f>HYPERLINK("https://pbs.twimg.com/profile_images/1053557531111538693/SBAQ7f5C.jpg","View")</f>
        <v>View</v>
      </c>
    </row>
    <row r="1154" spans="1:21" ht="20.399999999999999">
      <c r="A1154" s="6">
        <v>43441.545277777783</v>
      </c>
      <c r="B1154" s="7" t="str">
        <f>HYPERLINK("https://twitter.com/Theon_Greyjoy__","@Theon_Greyjoy__")</f>
        <v>@Theon_Greyjoy__</v>
      </c>
      <c r="C1154" s="8" t="s">
        <v>4333</v>
      </c>
      <c r="D1154" s="9" t="s">
        <v>4334</v>
      </c>
      <c r="E1154" s="10" t="str">
        <f>HYPERLINK("https://twitter.com/Theon_Greyjoy__/status/1071012751143825409","1071012751143825409")</f>
        <v>1071012751143825409</v>
      </c>
      <c r="F1154" s="11" t="s">
        <v>2409</v>
      </c>
      <c r="G1154" s="12"/>
      <c r="H1154" s="12"/>
      <c r="I1154" s="13">
        <v>0</v>
      </c>
      <c r="J1154" s="13">
        <v>0</v>
      </c>
      <c r="K1154" s="14" t="str">
        <f>HYPERLINK("https://buffer.com","Buffer")</f>
        <v>Buffer</v>
      </c>
      <c r="L1154" s="13">
        <v>133</v>
      </c>
      <c r="M1154" s="13">
        <v>984</v>
      </c>
      <c r="N1154" s="13">
        <v>1</v>
      </c>
      <c r="O1154" s="15"/>
      <c r="P1154" s="6">
        <v>43339.851423611108</v>
      </c>
      <c r="Q1154" s="16" t="s">
        <v>4335</v>
      </c>
      <c r="R1154" s="17" t="s">
        <v>4336</v>
      </c>
      <c r="S1154" s="12"/>
      <c r="T1154" s="12"/>
      <c r="U1154" s="10" t="str">
        <f>HYPERLINK("https://pbs.twimg.com/profile_images/1034145567939674116/CWwy9hyT.jpg","View")</f>
        <v>View</v>
      </c>
    </row>
    <row r="1155" spans="1:21" ht="40.799999999999997">
      <c r="A1155" s="6">
        <v>43441.545138888891</v>
      </c>
      <c r="B1155" s="7" t="str">
        <f>HYPERLINK("https://twitter.com/caval100","@caval100")</f>
        <v>@caval100</v>
      </c>
      <c r="C1155" s="8" t="s">
        <v>501</v>
      </c>
      <c r="D1155" s="9" t="s">
        <v>4337</v>
      </c>
      <c r="E1155" s="10" t="str">
        <f>HYPERLINK("https://twitter.com/caval100/status/1071012699788722177","1071012699788722177")</f>
        <v>1071012699788722177</v>
      </c>
      <c r="F1155" s="11" t="s">
        <v>4338</v>
      </c>
      <c r="G1155" s="12"/>
      <c r="H1155" s="12"/>
      <c r="I1155" s="13">
        <v>1</v>
      </c>
      <c r="J1155" s="13">
        <v>0</v>
      </c>
      <c r="K1155" s="14" t="str">
        <f>HYPERLINK("https://about.twitter.com/products/tweetdeck","TweetDeck")</f>
        <v>TweetDeck</v>
      </c>
      <c r="L1155" s="13">
        <v>119343</v>
      </c>
      <c r="M1155" s="13">
        <v>94000</v>
      </c>
      <c r="N1155" s="13">
        <v>982</v>
      </c>
      <c r="O1155" s="15"/>
      <c r="P1155" s="6">
        <v>40079.437094907407</v>
      </c>
      <c r="Q1155" s="16" t="s">
        <v>505</v>
      </c>
      <c r="R1155" s="17" t="s">
        <v>506</v>
      </c>
      <c r="S1155" s="11" t="s">
        <v>507</v>
      </c>
      <c r="T1155" s="12"/>
      <c r="U1155" s="10" t="str">
        <f>HYPERLINK("https://pbs.twimg.com/profile_images/965350678301429760/uvGI7g8U.jpg","View")</f>
        <v>View</v>
      </c>
    </row>
    <row r="1156" spans="1:21" ht="61.2">
      <c r="A1156" s="6">
        <v>43441.543958333335</v>
      </c>
      <c r="B1156" s="7" t="str">
        <f>HYPERLINK("https://twitter.com/Azana_cabreado","@Azana_cabreado")</f>
        <v>@Azana_cabreado</v>
      </c>
      <c r="C1156" s="8" t="s">
        <v>4339</v>
      </c>
      <c r="D1156" s="9" t="s">
        <v>4340</v>
      </c>
      <c r="E1156" s="10" t="str">
        <f>HYPERLINK("https://twitter.com/Azana_cabreado/status/1071012272036814848","1071012272036814848")</f>
        <v>1071012272036814848</v>
      </c>
      <c r="F1156" s="11" t="s">
        <v>4341</v>
      </c>
      <c r="G1156" s="12"/>
      <c r="H1156" s="12"/>
      <c r="I1156" s="13">
        <v>0</v>
      </c>
      <c r="J1156" s="13">
        <v>2</v>
      </c>
      <c r="K1156" s="14" t="str">
        <f>HYPERLINK("http://twitter.com/download/android","Twitter for Android")</f>
        <v>Twitter for Android</v>
      </c>
      <c r="L1156" s="13">
        <v>118</v>
      </c>
      <c r="M1156" s="13">
        <v>34</v>
      </c>
      <c r="N1156" s="13">
        <v>1</v>
      </c>
      <c r="O1156" s="15"/>
      <c r="P1156" s="6">
        <v>43410.550520833334</v>
      </c>
      <c r="Q1156" s="16" t="s">
        <v>60</v>
      </c>
      <c r="R1156" s="17" t="s">
        <v>4342</v>
      </c>
      <c r="S1156" s="12"/>
      <c r="T1156" s="12"/>
      <c r="U1156" s="10" t="str">
        <f>HYPERLINK("https://pbs.twimg.com/profile_images/1063531641845571584/H-LuLhoY.jpg","View")</f>
        <v>View</v>
      </c>
    </row>
    <row r="1157" spans="1:21" ht="61.2">
      <c r="A1157" s="6">
        <v>43441.543738425928</v>
      </c>
      <c r="B1157" s="7" t="str">
        <f>HYPERLINK("https://twitter.com/javycor","@javycor")</f>
        <v>@javycor</v>
      </c>
      <c r="C1157" s="8" t="s">
        <v>1559</v>
      </c>
      <c r="D1157" s="9" t="s">
        <v>4343</v>
      </c>
      <c r="E1157" s="10" t="str">
        <f>HYPERLINK("https://twitter.com/javycor/status/1071012193007620096","1071012193007620096")</f>
        <v>1071012193007620096</v>
      </c>
      <c r="F1157" s="16" t="s">
        <v>4344</v>
      </c>
      <c r="G1157" s="11" t="s">
        <v>4345</v>
      </c>
      <c r="H1157" s="12"/>
      <c r="I1157" s="13">
        <v>0</v>
      </c>
      <c r="J1157" s="13">
        <v>0</v>
      </c>
      <c r="K1157" s="14" t="str">
        <f>HYPERLINK("http://twitter.com","Twitter Web Client")</f>
        <v>Twitter Web Client</v>
      </c>
      <c r="L1157" s="13">
        <v>2385</v>
      </c>
      <c r="M1157" s="13">
        <v>3092</v>
      </c>
      <c r="N1157" s="13">
        <v>43</v>
      </c>
      <c r="O1157" s="15"/>
      <c r="P1157" s="6">
        <v>40639.994212962964</v>
      </c>
      <c r="Q1157" s="16" t="s">
        <v>4346</v>
      </c>
      <c r="R1157" s="17" t="s">
        <v>4347</v>
      </c>
      <c r="S1157" s="12"/>
      <c r="T1157" s="12"/>
      <c r="U1157" s="10" t="str">
        <f>HYPERLINK("https://pbs.twimg.com/profile_images/1070627208933371904/2mMdg_CS.jpg","View")</f>
        <v>View</v>
      </c>
    </row>
    <row r="1158" spans="1:21" ht="71.400000000000006">
      <c r="A1158" s="6">
        <v>43441.543472222227</v>
      </c>
      <c r="B1158" s="7" t="str">
        <f>HYPERLINK("https://twitter.com/Whatsername__93","@Whatsername__93")</f>
        <v>@Whatsername__93</v>
      </c>
      <c r="C1158" s="8" t="s">
        <v>4348</v>
      </c>
      <c r="D1158" s="9" t="s">
        <v>4349</v>
      </c>
      <c r="E1158" s="10" t="str">
        <f>HYPERLINK("https://twitter.com/Whatsername__93/status/1071012095376920577","1071012095376920577")</f>
        <v>1071012095376920577</v>
      </c>
      <c r="F1158" s="11" t="s">
        <v>54</v>
      </c>
      <c r="G1158" s="11" t="s">
        <v>55</v>
      </c>
      <c r="H1158" s="12"/>
      <c r="I1158" s="13">
        <v>2</v>
      </c>
      <c r="J1158" s="13">
        <v>5</v>
      </c>
      <c r="K1158" s="14" t="str">
        <f>HYPERLINK("http://twitter.com/download/iphone","Twitter for iPhone")</f>
        <v>Twitter for iPhone</v>
      </c>
      <c r="L1158" s="13">
        <v>1368</v>
      </c>
      <c r="M1158" s="13">
        <v>670</v>
      </c>
      <c r="N1158" s="13">
        <v>20</v>
      </c>
      <c r="O1158" s="15"/>
      <c r="P1158" s="6">
        <v>40243.733587962961</v>
      </c>
      <c r="Q1158" s="12"/>
      <c r="R1158" s="17" t="s">
        <v>4350</v>
      </c>
      <c r="S1158" s="11" t="s">
        <v>4351</v>
      </c>
      <c r="T1158" s="12"/>
      <c r="U1158" s="10" t="str">
        <f>HYPERLINK("https://pbs.twimg.com/profile_images/1068916223566598144/ik18JjWG.jpg","View")</f>
        <v>View</v>
      </c>
    </row>
    <row r="1159" spans="1:21" ht="102">
      <c r="A1159" s="6">
        <v>43441.54241898148</v>
      </c>
      <c r="B1159" s="7" t="str">
        <f>HYPERLINK("https://twitter.com/Kfowwnxidjid","@Kfowwnxidjid")</f>
        <v>@Kfowwnxidjid</v>
      </c>
      <c r="C1159" s="8" t="s">
        <v>4352</v>
      </c>
      <c r="D1159" s="9" t="s">
        <v>4353</v>
      </c>
      <c r="E1159" s="10" t="str">
        <f>HYPERLINK("https://twitter.com/Kfowwnxidjid/status/1071011711463931904","1071011711463931904")</f>
        <v>1071011711463931904</v>
      </c>
      <c r="F1159" s="11" t="s">
        <v>54</v>
      </c>
      <c r="G1159" s="11" t="s">
        <v>55</v>
      </c>
      <c r="H1159" s="12"/>
      <c r="I1159" s="13">
        <v>0</v>
      </c>
      <c r="J1159" s="13">
        <v>1</v>
      </c>
      <c r="K1159" s="14" t="str">
        <f>HYPERLINK("http://twitter.com/download/android","Twitter for Android")</f>
        <v>Twitter for Android</v>
      </c>
      <c r="L1159" s="13">
        <v>10</v>
      </c>
      <c r="M1159" s="13">
        <v>48</v>
      </c>
      <c r="N1159" s="13">
        <v>0</v>
      </c>
      <c r="O1159" s="15"/>
      <c r="P1159" s="6">
        <v>42898.959027777775</v>
      </c>
      <c r="Q1159" s="16" t="s">
        <v>4354</v>
      </c>
      <c r="R1159" s="19"/>
      <c r="S1159" s="12"/>
      <c r="T1159" s="12"/>
      <c r="U1159" s="18" t="s">
        <v>67</v>
      </c>
    </row>
    <row r="1160" spans="1:21" ht="20.399999999999999">
      <c r="A1160" s="6">
        <v>43441.542233796295</v>
      </c>
      <c r="B1160" s="7" t="str">
        <f>HYPERLINK("https://twitter.com/ElDiarioAragon","@ElDiarioAragon")</f>
        <v>@ElDiarioAragon</v>
      </c>
      <c r="C1160" s="8" t="s">
        <v>4355</v>
      </c>
      <c r="D1160" s="9" t="s">
        <v>4356</v>
      </c>
      <c r="E1160" s="10" t="str">
        <f>HYPERLINK("https://twitter.com/ElDiarioAragon/status/1071011647676928006","1071011647676928006")</f>
        <v>1071011647676928006</v>
      </c>
      <c r="F1160" s="11" t="s">
        <v>3561</v>
      </c>
      <c r="G1160" s="11" t="s">
        <v>4357</v>
      </c>
      <c r="H1160" s="12"/>
      <c r="I1160" s="13">
        <v>0</v>
      </c>
      <c r="J1160" s="13">
        <v>0</v>
      </c>
      <c r="K1160" s="14" t="str">
        <f>HYPERLINK("https://www.hootsuite.com","Hootsuite Inc.")</f>
        <v>Hootsuite Inc.</v>
      </c>
      <c r="L1160" s="13">
        <v>3954</v>
      </c>
      <c r="M1160" s="13">
        <v>215</v>
      </c>
      <c r="N1160" s="13">
        <v>118</v>
      </c>
      <c r="O1160" s="15"/>
      <c r="P1160" s="6">
        <v>42053.863935185189</v>
      </c>
      <c r="Q1160" s="12"/>
      <c r="R1160" s="17" t="s">
        <v>4358</v>
      </c>
      <c r="S1160" s="11" t="s">
        <v>4359</v>
      </c>
      <c r="T1160" s="12"/>
      <c r="U1160" s="10" t="str">
        <f>HYPERLINK("https://pbs.twimg.com/profile_images/879762100398288896/9GAslVgA.jpg","View")</f>
        <v>View</v>
      </c>
    </row>
    <row r="1161" spans="1:21" ht="20.399999999999999">
      <c r="A1161" s="6">
        <v>43441.542094907403</v>
      </c>
      <c r="B1161" s="7" t="str">
        <f>HYPERLINK("https://twitter.com/InfoHeaders_Tes","@InfoHeaders_Tes")</f>
        <v>@InfoHeaders_Tes</v>
      </c>
      <c r="C1161" s="8" t="s">
        <v>4360</v>
      </c>
      <c r="D1161" s="9" t="s">
        <v>4361</v>
      </c>
      <c r="E1161" s="10" t="str">
        <f>HYPERLINK("https://twitter.com/InfoHeaders_Tes/status/1071011597592772610","1071011597592772610")</f>
        <v>1071011597592772610</v>
      </c>
      <c r="F1161" s="11" t="s">
        <v>4362</v>
      </c>
      <c r="G1161" s="12"/>
      <c r="H1161" s="12"/>
      <c r="I1161" s="13">
        <v>0</v>
      </c>
      <c r="J1161" s="13">
        <v>0</v>
      </c>
      <c r="K1161" s="14" t="str">
        <f>HYPERLINK("http://www.infoheaders.com","Send _Tw_INFH_Test")</f>
        <v>Send _Tw_INFH_Test</v>
      </c>
      <c r="L1161" s="13">
        <v>201</v>
      </c>
      <c r="M1161" s="13">
        <v>1</v>
      </c>
      <c r="N1161" s="13">
        <v>100</v>
      </c>
      <c r="O1161" s="15"/>
      <c r="P1161" s="6">
        <v>41315.710497685184</v>
      </c>
      <c r="Q1161" s="16" t="s">
        <v>60</v>
      </c>
      <c r="R1161" s="17" t="s">
        <v>4363</v>
      </c>
      <c r="S1161" s="11" t="s">
        <v>4364</v>
      </c>
      <c r="T1161" s="12"/>
      <c r="U1161" s="10" t="str">
        <f>HYPERLINK("https://pbs.twimg.com/profile_images/3234700567/566c3c8e394f76d77a41eafe1bfc7aa3.jpeg","View")</f>
        <v>View</v>
      </c>
    </row>
    <row r="1162" spans="1:21" ht="40.799999999999997">
      <c r="A1162" s="6">
        <v>43441.541666666672</v>
      </c>
      <c r="B1162" s="7" t="str">
        <f>HYPERLINK("https://twitter.com/caval100","@caval100")</f>
        <v>@caval100</v>
      </c>
      <c r="C1162" s="8" t="s">
        <v>501</v>
      </c>
      <c r="D1162" s="9" t="s">
        <v>4365</v>
      </c>
      <c r="E1162" s="10" t="str">
        <f>HYPERLINK("https://twitter.com/caval100/status/1071011441904250881","1071011441904250881")</f>
        <v>1071011441904250881</v>
      </c>
      <c r="F1162" s="11" t="s">
        <v>4366</v>
      </c>
      <c r="G1162" s="12"/>
      <c r="H1162" s="12"/>
      <c r="I1162" s="13">
        <v>1</v>
      </c>
      <c r="J1162" s="13">
        <v>0</v>
      </c>
      <c r="K1162" s="14" t="str">
        <f>HYPERLINK("https://about.twitter.com/products/tweetdeck","TweetDeck")</f>
        <v>TweetDeck</v>
      </c>
      <c r="L1162" s="13">
        <v>119343</v>
      </c>
      <c r="M1162" s="13">
        <v>94000</v>
      </c>
      <c r="N1162" s="13">
        <v>982</v>
      </c>
      <c r="O1162" s="15"/>
      <c r="P1162" s="6">
        <v>40079.437094907407</v>
      </c>
      <c r="Q1162" s="16" t="s">
        <v>505</v>
      </c>
      <c r="R1162" s="17" t="s">
        <v>506</v>
      </c>
      <c r="S1162" s="11" t="s">
        <v>507</v>
      </c>
      <c r="T1162" s="12"/>
      <c r="U1162" s="10" t="str">
        <f>HYPERLINK("https://pbs.twimg.com/profile_images/965350678301429760/uvGI7g8U.jpg","View")</f>
        <v>View</v>
      </c>
    </row>
    <row r="1163" spans="1:21" ht="20.399999999999999">
      <c r="A1163" s="6">
        <v>43441.541516203702</v>
      </c>
      <c r="B1163" s="7" t="str">
        <f>HYPERLINK("https://twitter.com/ProfesorQuantum","@ProfesorQuantum")</f>
        <v>@ProfesorQuantum</v>
      </c>
      <c r="C1163" s="8" t="s">
        <v>4367</v>
      </c>
      <c r="D1163" s="9" t="s">
        <v>4368</v>
      </c>
      <c r="E1163" s="10" t="str">
        <f>HYPERLINK("https://twitter.com/ProfesorQuantum/status/1071011386522767361","1071011386522767361")</f>
        <v>1071011386522767361</v>
      </c>
      <c r="F1163" s="12"/>
      <c r="G1163" s="11" t="s">
        <v>4369</v>
      </c>
      <c r="H1163" s="12"/>
      <c r="I1163" s="13">
        <v>4</v>
      </c>
      <c r="J1163" s="13">
        <v>10</v>
      </c>
      <c r="K1163" s="14" t="str">
        <f>HYPERLINK("https://mobile.twitter.com","Twitter Lite")</f>
        <v>Twitter Lite</v>
      </c>
      <c r="L1163" s="13">
        <v>1758</v>
      </c>
      <c r="M1163" s="13">
        <v>988</v>
      </c>
      <c r="N1163" s="13">
        <v>25</v>
      </c>
      <c r="O1163" s="15"/>
      <c r="P1163" s="6">
        <v>42452.877083333333</v>
      </c>
      <c r="Q1163" s="16" t="s">
        <v>4370</v>
      </c>
      <c r="R1163" s="17" t="s">
        <v>4371</v>
      </c>
      <c r="S1163" s="11" t="s">
        <v>4372</v>
      </c>
      <c r="T1163" s="12"/>
      <c r="U1163" s="10" t="str">
        <f>HYPERLINK("https://pbs.twimg.com/profile_images/1038809767744028673/ag6adq87.png","View")</f>
        <v>View</v>
      </c>
    </row>
    <row r="1164" spans="1:21" ht="20.399999999999999">
      <c r="A1164" s="6">
        <v>43441.540300925924</v>
      </c>
      <c r="B1164" s="7" t="str">
        <f>HYPERLINK("https://twitter.com/kyog86","@kyog86")</f>
        <v>@kyog86</v>
      </c>
      <c r="C1164" s="8" t="s">
        <v>4373</v>
      </c>
      <c r="D1164" s="9" t="s">
        <v>4374</v>
      </c>
      <c r="E1164" s="10" t="str">
        <f>HYPERLINK("https://twitter.com/kyog86/status/1071010947257511937","1071010947257511937")</f>
        <v>1071010947257511937</v>
      </c>
      <c r="F1164" s="12"/>
      <c r="G1164" s="11" t="s">
        <v>4375</v>
      </c>
      <c r="H1164" s="12"/>
      <c r="I1164" s="13">
        <v>8</v>
      </c>
      <c r="J1164" s="13">
        <v>22</v>
      </c>
      <c r="K1164" s="14" t="str">
        <f t="shared" ref="K1164:K1165" si="196">HYPERLINK("http://twitter.com","Twitter Web Client")</f>
        <v>Twitter Web Client</v>
      </c>
      <c r="L1164" s="13">
        <v>938</v>
      </c>
      <c r="M1164" s="13">
        <v>302</v>
      </c>
      <c r="N1164" s="13">
        <v>23</v>
      </c>
      <c r="O1164" s="15"/>
      <c r="P1164" s="6">
        <v>41383.778865740736</v>
      </c>
      <c r="Q1164" s="16" t="s">
        <v>4376</v>
      </c>
      <c r="R1164" s="17" t="s">
        <v>4377</v>
      </c>
      <c r="S1164" s="11" t="s">
        <v>4378</v>
      </c>
      <c r="T1164" s="12"/>
      <c r="U1164" s="10" t="str">
        <f>HYPERLINK("https://pbs.twimg.com/profile_images/1069719131811913728/WAZ9XAIy.jpg","View")</f>
        <v>View</v>
      </c>
    </row>
    <row r="1165" spans="1:21" ht="81.599999999999994">
      <c r="A1165" s="6">
        <v>43441.53670138889</v>
      </c>
      <c r="B1165" s="7" t="str">
        <f>HYPERLINK("https://twitter.com/javycor","@javycor")</f>
        <v>@javycor</v>
      </c>
      <c r="C1165" s="8" t="s">
        <v>1559</v>
      </c>
      <c r="D1165" s="9" t="s">
        <v>4379</v>
      </c>
      <c r="E1165" s="10" t="str">
        <f>HYPERLINK("https://twitter.com/javycor/status/1071009641876869120","1071009641876869120")</f>
        <v>1071009641876869120</v>
      </c>
      <c r="F1165" s="16" t="s">
        <v>4344</v>
      </c>
      <c r="G1165" s="11" t="s">
        <v>4345</v>
      </c>
      <c r="H1165" s="12"/>
      <c r="I1165" s="13">
        <v>3</v>
      </c>
      <c r="J1165" s="13">
        <v>2</v>
      </c>
      <c r="K1165" s="14" t="str">
        <f t="shared" si="196"/>
        <v>Twitter Web Client</v>
      </c>
      <c r="L1165" s="13">
        <v>2385</v>
      </c>
      <c r="M1165" s="13">
        <v>3092</v>
      </c>
      <c r="N1165" s="13">
        <v>43</v>
      </c>
      <c r="O1165" s="15"/>
      <c r="P1165" s="6">
        <v>40639.994212962964</v>
      </c>
      <c r="Q1165" s="16" t="s">
        <v>4346</v>
      </c>
      <c r="R1165" s="17" t="s">
        <v>4347</v>
      </c>
      <c r="S1165" s="12"/>
      <c r="T1165" s="12"/>
      <c r="U1165" s="10" t="str">
        <f>HYPERLINK("https://pbs.twimg.com/profile_images/1070627208933371904/2mMdg_CS.jpg","View")</f>
        <v>View</v>
      </c>
    </row>
    <row r="1166" spans="1:21" ht="20.399999999999999">
      <c r="A1166" s="6">
        <v>43441.535648148143</v>
      </c>
      <c r="B1166" s="7" t="str">
        <f>HYPERLINK("https://twitter.com/InfoHeaders_Tes","@InfoHeaders_Tes")</f>
        <v>@InfoHeaders_Tes</v>
      </c>
      <c r="C1166" s="8" t="s">
        <v>4360</v>
      </c>
      <c r="D1166" s="9" t="s">
        <v>4380</v>
      </c>
      <c r="E1166" s="10" t="str">
        <f>HYPERLINK("https://twitter.com/InfoHeaders_Tes/status/1071009260677554178","1071009260677554178")</f>
        <v>1071009260677554178</v>
      </c>
      <c r="F1166" s="11" t="s">
        <v>3594</v>
      </c>
      <c r="G1166" s="12"/>
      <c r="H1166" s="12"/>
      <c r="I1166" s="13">
        <v>0</v>
      </c>
      <c r="J1166" s="13">
        <v>0</v>
      </c>
      <c r="K1166" s="14" t="str">
        <f>HYPERLINK("http://www.infoheaders.com","Send _Tw_INFH_Test")</f>
        <v>Send _Tw_INFH_Test</v>
      </c>
      <c r="L1166" s="13">
        <v>201</v>
      </c>
      <c r="M1166" s="13">
        <v>1</v>
      </c>
      <c r="N1166" s="13">
        <v>100</v>
      </c>
      <c r="O1166" s="15"/>
      <c r="P1166" s="6">
        <v>41315.710497685184</v>
      </c>
      <c r="Q1166" s="16" t="s">
        <v>60</v>
      </c>
      <c r="R1166" s="17" t="s">
        <v>4363</v>
      </c>
      <c r="S1166" s="11" t="s">
        <v>4364</v>
      </c>
      <c r="T1166" s="12"/>
      <c r="U1166" s="10" t="str">
        <f>HYPERLINK("https://pbs.twimg.com/profile_images/3234700567/566c3c8e394f76d77a41eafe1bfc7aa3.jpeg","View")</f>
        <v>View</v>
      </c>
    </row>
    <row r="1167" spans="1:21" ht="20.399999999999999">
      <c r="A1167" s="6">
        <v>43441.533888888887</v>
      </c>
      <c r="B1167" s="7" t="str">
        <f>HYPERLINK("https://twitter.com/cuber_9","@cuber_9")</f>
        <v>@cuber_9</v>
      </c>
      <c r="C1167" s="8" t="s">
        <v>4381</v>
      </c>
      <c r="D1167" s="9" t="s">
        <v>3317</v>
      </c>
      <c r="E1167" s="10" t="str">
        <f>HYPERLINK("https://twitter.com/cuber_9/status/1071008619892826115","1071008619892826115")</f>
        <v>1071008619892826115</v>
      </c>
      <c r="F1167" s="11" t="s">
        <v>4382</v>
      </c>
      <c r="G1167" s="12"/>
      <c r="H1167" s="12"/>
      <c r="I1167" s="13">
        <v>0</v>
      </c>
      <c r="J1167" s="13">
        <v>0</v>
      </c>
      <c r="K1167" s="14" t="str">
        <f>HYPERLINK("http://twitter.com/download/android","Twitter for Android")</f>
        <v>Twitter for Android</v>
      </c>
      <c r="L1167" s="13">
        <v>1148</v>
      </c>
      <c r="M1167" s="13">
        <v>2045</v>
      </c>
      <c r="N1167" s="13">
        <v>12</v>
      </c>
      <c r="O1167" s="15"/>
      <c r="P1167" s="6">
        <v>41488.664571759262</v>
      </c>
      <c r="Q1167" s="12"/>
      <c r="R1167" s="17" t="s">
        <v>4383</v>
      </c>
      <c r="S1167" s="12"/>
      <c r="T1167" s="12"/>
      <c r="U1167" s="10" t="str">
        <f>HYPERLINK("https://pbs.twimg.com/profile_images/378800000230693754/4d191e9b8d4e66e2229cd874622e9c1f.jpeg","View")</f>
        <v>View</v>
      </c>
    </row>
    <row r="1168" spans="1:21" ht="13.2">
      <c r="A1168" s="6">
        <v>43441.533043981486</v>
      </c>
      <c r="B1168" s="7" t="str">
        <f>HYPERLINK("https://twitter.com/vicrock1947","@vicrock1947")</f>
        <v>@vicrock1947</v>
      </c>
      <c r="C1168" s="8" t="s">
        <v>4384</v>
      </c>
      <c r="D1168" s="9" t="s">
        <v>4385</v>
      </c>
      <c r="E1168" s="10" t="str">
        <f>HYPERLINK("https://twitter.com/vicrock1947/status/1071008315906420737","1071008315906420737")</f>
        <v>1071008315906420737</v>
      </c>
      <c r="F1168" s="12"/>
      <c r="G1168" s="11" t="s">
        <v>4386</v>
      </c>
      <c r="H1168" s="12"/>
      <c r="I1168" s="13">
        <v>1</v>
      </c>
      <c r="J1168" s="13">
        <v>0</v>
      </c>
      <c r="K1168" s="14" t="str">
        <f>HYPERLINK("http://twitter.com","Twitter Web Client")</f>
        <v>Twitter Web Client</v>
      </c>
      <c r="L1168" s="13">
        <v>1660</v>
      </c>
      <c r="M1168" s="13">
        <v>1686</v>
      </c>
      <c r="N1168" s="13">
        <v>2</v>
      </c>
      <c r="O1168" s="15"/>
      <c r="P1168" s="6">
        <v>42878.561157407406</v>
      </c>
      <c r="Q1168" s="12"/>
      <c r="R1168" s="19"/>
      <c r="S1168" s="12"/>
      <c r="T1168" s="12"/>
      <c r="U1168" s="10" t="str">
        <f>HYPERLINK("https://pbs.twimg.com/profile_images/923505794078904321/K0hMi8hx.jpg","View")</f>
        <v>View</v>
      </c>
    </row>
    <row r="1169" spans="1:21" ht="51">
      <c r="A1169" s="6">
        <v>43441.531631944439</v>
      </c>
      <c r="B1169" s="7" t="str">
        <f>HYPERLINK("https://twitter.com/terceracaidali","@terceracaidali")</f>
        <v>@terceracaidali</v>
      </c>
      <c r="C1169" s="8" t="s">
        <v>4387</v>
      </c>
      <c r="D1169" s="9" t="s">
        <v>4388</v>
      </c>
      <c r="E1169" s="10" t="str">
        <f>HYPERLINK("https://twitter.com/terceracaidali/status/1071007804725579777","1071007804725579777")</f>
        <v>1071007804725579777</v>
      </c>
      <c r="F1169" s="12"/>
      <c r="G1169" s="11" t="s">
        <v>4389</v>
      </c>
      <c r="H1169" s="12"/>
      <c r="I1169" s="13">
        <v>2</v>
      </c>
      <c r="J1169" s="13">
        <v>4</v>
      </c>
      <c r="K1169" s="14" t="str">
        <f>HYPERLINK("http://twitter.com/download/android","Twitter for Android")</f>
        <v>Twitter for Android</v>
      </c>
      <c r="L1169" s="13">
        <v>270</v>
      </c>
      <c r="M1169" s="13">
        <v>69</v>
      </c>
      <c r="N1169" s="13">
        <v>4</v>
      </c>
      <c r="O1169" s="15"/>
      <c r="P1169" s="6">
        <v>42930.071608796294</v>
      </c>
      <c r="Q1169" s="16" t="s">
        <v>3253</v>
      </c>
      <c r="R1169" s="17" t="s">
        <v>4390</v>
      </c>
      <c r="S1169" s="11" t="s">
        <v>4391</v>
      </c>
      <c r="T1169" s="12"/>
      <c r="U1169" s="10" t="str">
        <f>HYPERLINK("https://pbs.twimg.com/profile_images/974554059817467905/ME3a4NE1.jpg","View")</f>
        <v>View</v>
      </c>
    </row>
    <row r="1170" spans="1:21" ht="40.799999999999997">
      <c r="A1170" s="6">
        <v>43441.530509259261</v>
      </c>
      <c r="B1170" s="7" t="str">
        <f>HYPERLINK("https://twitter.com/EconomiaED_","@EconomiaED_")</f>
        <v>@EconomiaED_</v>
      </c>
      <c r="C1170" s="8" t="s">
        <v>4214</v>
      </c>
      <c r="D1170" s="9" t="s">
        <v>4392</v>
      </c>
      <c r="E1170" s="10" t="str">
        <f>HYPERLINK("https://twitter.com/EconomiaED_/status/1071007395558637569","1071007395558637569")</f>
        <v>1071007395558637569</v>
      </c>
      <c r="F1170" s="11" t="s">
        <v>4393</v>
      </c>
      <c r="G1170" s="12"/>
      <c r="H1170" s="12"/>
      <c r="I1170" s="13">
        <v>1</v>
      </c>
      <c r="J1170" s="13">
        <v>0</v>
      </c>
      <c r="K1170" s="14" t="str">
        <f>HYPERLINK("https://about.twitter.com/products/tweetdeck","TweetDeck")</f>
        <v>TweetDeck</v>
      </c>
      <c r="L1170" s="13">
        <v>37786</v>
      </c>
      <c r="M1170" s="13">
        <v>15</v>
      </c>
      <c r="N1170" s="13">
        <v>1329</v>
      </c>
      <c r="O1170" s="18" t="s">
        <v>41</v>
      </c>
      <c r="P1170" s="6">
        <v>39848.703750000001</v>
      </c>
      <c r="Q1170" s="16" t="s">
        <v>87</v>
      </c>
      <c r="R1170" s="17" t="s">
        <v>4217</v>
      </c>
      <c r="S1170" s="11" t="s">
        <v>4218</v>
      </c>
      <c r="T1170" s="12"/>
      <c r="U1170" s="10" t="str">
        <f>HYPERLINK("https://pbs.twimg.com/profile_images/1065647658960908290/EhoCCUFX.jpg","View")</f>
        <v>View</v>
      </c>
    </row>
    <row r="1171" spans="1:21" ht="20.399999999999999">
      <c r="A1171" s="6">
        <v>43441.529837962968</v>
      </c>
      <c r="B1171" s="7" t="str">
        <f>HYPERLINK("https://twitter.com/ortiz_adell","@ortiz_adell")</f>
        <v>@ortiz_adell</v>
      </c>
      <c r="C1171" s="8" t="s">
        <v>4394</v>
      </c>
      <c r="D1171" s="9" t="s">
        <v>4310</v>
      </c>
      <c r="E1171" s="10" t="str">
        <f>HYPERLINK("https://twitter.com/ortiz_adell/status/1071007152230285313","1071007152230285313")</f>
        <v>1071007152230285313</v>
      </c>
      <c r="F1171" s="11" t="s">
        <v>3594</v>
      </c>
      <c r="G1171" s="11" t="s">
        <v>4395</v>
      </c>
      <c r="H1171" s="12"/>
      <c r="I1171" s="13">
        <v>1</v>
      </c>
      <c r="J1171" s="13">
        <v>1</v>
      </c>
      <c r="K1171" s="14" t="str">
        <f>HYPERLINK("http://twitter.com","Twitter Web Client")</f>
        <v>Twitter Web Client</v>
      </c>
      <c r="L1171" s="13">
        <v>46</v>
      </c>
      <c r="M1171" s="13">
        <v>577</v>
      </c>
      <c r="N1171" s="13">
        <v>1</v>
      </c>
      <c r="O1171" s="15"/>
      <c r="P1171" s="6">
        <v>42029.89643518519</v>
      </c>
      <c r="Q1171" s="16" t="s">
        <v>87</v>
      </c>
      <c r="R1171" s="17" t="s">
        <v>4396</v>
      </c>
      <c r="S1171" s="11" t="s">
        <v>4397</v>
      </c>
      <c r="T1171" s="12"/>
      <c r="U1171" s="10" t="str">
        <f>HYPERLINK("https://pbs.twimg.com/profile_images/1022445258288885760/_9Nf8xl9.jpg","View")</f>
        <v>View</v>
      </c>
    </row>
    <row r="1172" spans="1:21" ht="20.399999999999999">
      <c r="A1172" s="6">
        <v>43441.529664351852</v>
      </c>
      <c r="B1172" s="7" t="str">
        <f>HYPERLINK("https://twitter.com/begoa36","@begoa36")</f>
        <v>@begoa36</v>
      </c>
      <c r="C1172" s="8" t="s">
        <v>1748</v>
      </c>
      <c r="D1172" s="9" t="s">
        <v>4398</v>
      </c>
      <c r="E1172" s="10" t="str">
        <f>HYPERLINK("https://twitter.com/begoa36/status/1071007092838928385","1071007092838928385")</f>
        <v>1071007092838928385</v>
      </c>
      <c r="F1172" s="11" t="s">
        <v>3266</v>
      </c>
      <c r="G1172" s="12"/>
      <c r="H1172" s="12"/>
      <c r="I1172" s="13">
        <v>0</v>
      </c>
      <c r="J1172" s="13">
        <v>0</v>
      </c>
      <c r="K1172" s="14" t="str">
        <f>HYPERLINK("http://twitter.com/#!/download/ipad","Twitter for iPad")</f>
        <v>Twitter for iPad</v>
      </c>
      <c r="L1172" s="13">
        <v>284</v>
      </c>
      <c r="M1172" s="13">
        <v>112</v>
      </c>
      <c r="N1172" s="13">
        <v>4</v>
      </c>
      <c r="O1172" s="15"/>
      <c r="P1172" s="6">
        <v>40806.829166666663</v>
      </c>
      <c r="Q1172" s="16" t="s">
        <v>1750</v>
      </c>
      <c r="R1172" s="19"/>
      <c r="S1172" s="12"/>
      <c r="T1172" s="12"/>
      <c r="U1172" s="10" t="str">
        <f>HYPERLINK("https://pbs.twimg.com/profile_images/1039993218191044609/uHWsP2m8.jpg","View")</f>
        <v>View</v>
      </c>
    </row>
    <row r="1173" spans="1:21" ht="20.399999999999999">
      <c r="A1173" s="6">
        <v>43441.528912037036</v>
      </c>
      <c r="B1173" s="7" t="str">
        <f>HYPERLINK("https://twitter.com/CONCHA_ZARAGOZA","@CONCHA_ZARAGOZA")</f>
        <v>@CONCHA_ZARAGOZA</v>
      </c>
      <c r="C1173" s="8" t="s">
        <v>2741</v>
      </c>
      <c r="D1173" s="9" t="s">
        <v>1175</v>
      </c>
      <c r="E1173" s="10" t="str">
        <f>HYPERLINK("https://twitter.com/CONCHA_ZARAGOZA/status/1071006818204299264","1071006818204299264")</f>
        <v>1071006818204299264</v>
      </c>
      <c r="F1173" s="11" t="s">
        <v>1176</v>
      </c>
      <c r="G1173" s="12"/>
      <c r="H1173" s="12"/>
      <c r="I1173" s="13">
        <v>0</v>
      </c>
      <c r="J1173" s="13">
        <v>0</v>
      </c>
      <c r="K1173" s="14" t="str">
        <f>HYPERLINK("http://twitter.com/download/android","Twitter for Android")</f>
        <v>Twitter for Android</v>
      </c>
      <c r="L1173" s="13">
        <v>3027</v>
      </c>
      <c r="M1173" s="13">
        <v>3369</v>
      </c>
      <c r="N1173" s="13">
        <v>80</v>
      </c>
      <c r="O1173" s="15"/>
      <c r="P1173" s="6">
        <v>40772.991435185184</v>
      </c>
      <c r="Q1173" s="16" t="s">
        <v>2744</v>
      </c>
      <c r="R1173" s="17" t="s">
        <v>2745</v>
      </c>
      <c r="S1173" s="12"/>
      <c r="T1173" s="12"/>
      <c r="U1173" s="10" t="str">
        <f>HYPERLINK("https://pbs.twimg.com/profile_images/881951172659204097/qzahdlGI.jpg","View")</f>
        <v>View</v>
      </c>
    </row>
    <row r="1174" spans="1:21" ht="20.399999999999999">
      <c r="A1174" s="6">
        <v>43441.52825231482</v>
      </c>
      <c r="B1174" s="7" t="str">
        <f>HYPERLINK("https://twitter.com/EdmondD09082129","@EdmondD09082129")</f>
        <v>@EdmondD09082129</v>
      </c>
      <c r="C1174" s="8" t="s">
        <v>4399</v>
      </c>
      <c r="D1174" s="9" t="s">
        <v>4220</v>
      </c>
      <c r="E1174" s="10" t="str">
        <f>HYPERLINK("https://twitter.com/EdmondD09082129/status/1071006577346441217","1071006577346441217")</f>
        <v>1071006577346441217</v>
      </c>
      <c r="F1174" s="11" t="s">
        <v>115</v>
      </c>
      <c r="G1174" s="12"/>
      <c r="H1174" s="12"/>
      <c r="I1174" s="13">
        <v>0</v>
      </c>
      <c r="J1174" s="13">
        <v>0</v>
      </c>
      <c r="K1174" s="14" t="str">
        <f>HYPERLINK("http://twitter.com/download/iphone","Twitter for iPhone")</f>
        <v>Twitter for iPhone</v>
      </c>
      <c r="L1174" s="13">
        <v>861</v>
      </c>
      <c r="M1174" s="13">
        <v>1215</v>
      </c>
      <c r="N1174" s="13">
        <v>10</v>
      </c>
      <c r="O1174" s="15"/>
      <c r="P1174" s="6">
        <v>42682.74927083333</v>
      </c>
      <c r="Q1174" s="12"/>
      <c r="R1174" s="17" t="s">
        <v>4400</v>
      </c>
      <c r="S1174" s="12"/>
      <c r="T1174" s="12"/>
      <c r="U1174" s="10" t="str">
        <f>HYPERLINK("https://pbs.twimg.com/profile_images/1054117535606603781/YR2d0BNe.jpg","View")</f>
        <v>View</v>
      </c>
    </row>
    <row r="1175" spans="1:21" ht="51">
      <c r="A1175" s="6">
        <v>43441.527511574073</v>
      </c>
      <c r="B1175" s="7" t="str">
        <f>HYPERLINK("https://twitter.com/pedro_altuna","@pedro_altuna")</f>
        <v>@pedro_altuna</v>
      </c>
      <c r="C1175" s="8" t="s">
        <v>4067</v>
      </c>
      <c r="D1175" s="9" t="s">
        <v>4401</v>
      </c>
      <c r="E1175" s="10" t="str">
        <f>HYPERLINK("https://twitter.com/pedro_altuna/status/1071006310592905216","1071006310592905216")</f>
        <v>1071006310592905216</v>
      </c>
      <c r="F1175" s="12"/>
      <c r="G1175" s="11" t="s">
        <v>4402</v>
      </c>
      <c r="H1175" s="12"/>
      <c r="I1175" s="13">
        <v>147</v>
      </c>
      <c r="J1175" s="13">
        <v>103</v>
      </c>
      <c r="K1175" s="14" t="str">
        <f>HYPERLINK("http://twitter.com","Twitter Web Client")</f>
        <v>Twitter Web Client</v>
      </c>
      <c r="L1175" s="13">
        <v>9801</v>
      </c>
      <c r="M1175" s="13">
        <v>714</v>
      </c>
      <c r="N1175" s="13">
        <v>164</v>
      </c>
      <c r="O1175" s="15"/>
      <c r="P1175" s="6">
        <v>40880.580243055556</v>
      </c>
      <c r="Q1175" s="12"/>
      <c r="R1175" s="17" t="s">
        <v>4069</v>
      </c>
      <c r="S1175" s="12"/>
      <c r="T1175" s="12"/>
      <c r="U1175" s="10" t="str">
        <f>HYPERLINK("https://pbs.twimg.com/profile_images/1059209289313804288/9kqUQmgd.jpg","View")</f>
        <v>View</v>
      </c>
    </row>
    <row r="1176" spans="1:21" ht="40.799999999999997">
      <c r="A1176" s="6">
        <v>43441.527326388888</v>
      </c>
      <c r="B1176" s="7" t="str">
        <f>HYPERLINK("https://twitter.com/HoyPorHoy","@HoyPorHoy")</f>
        <v>@HoyPorHoy</v>
      </c>
      <c r="C1176" s="8" t="s">
        <v>4403</v>
      </c>
      <c r="D1176" s="9" t="s">
        <v>4404</v>
      </c>
      <c r="E1176" s="10" t="str">
        <f>HYPERLINK("https://twitter.com/HoyPorHoy/status/1071006242120888326","1071006242120888326")</f>
        <v>1071006242120888326</v>
      </c>
      <c r="F1176" s="12"/>
      <c r="G1176" s="12"/>
      <c r="H1176" s="12"/>
      <c r="I1176" s="13">
        <v>17</v>
      </c>
      <c r="J1176" s="13">
        <v>41</v>
      </c>
      <c r="K1176" s="14" t="str">
        <f>HYPERLINK("http://twitter.com/download/iphone","Twitter for iPhone")</f>
        <v>Twitter for iPhone</v>
      </c>
      <c r="L1176" s="13">
        <v>151841</v>
      </c>
      <c r="M1176" s="13">
        <v>549</v>
      </c>
      <c r="N1176" s="13">
        <v>1957</v>
      </c>
      <c r="O1176" s="18" t="s">
        <v>41</v>
      </c>
      <c r="P1176" s="6">
        <v>40524.8125</v>
      </c>
      <c r="Q1176" s="16" t="s">
        <v>4405</v>
      </c>
      <c r="R1176" s="17" t="s">
        <v>4406</v>
      </c>
      <c r="S1176" s="11" t="s">
        <v>4407</v>
      </c>
      <c r="T1176" s="12"/>
      <c r="U1176" s="10" t="str">
        <f>HYPERLINK("https://pbs.twimg.com/profile_images/1048055720007163905/tEd_7iXy.jpg","View")</f>
        <v>View</v>
      </c>
    </row>
    <row r="1177" spans="1:21" ht="40.799999999999997">
      <c r="A1177" s="6">
        <v>43441.526574074072</v>
      </c>
      <c r="B1177" s="7" t="str">
        <f t="shared" ref="B1177:B1178" si="197">HYPERLINK("https://twitter.com/MONTESQUIEU1956","@MONTESQUIEU1956")</f>
        <v>@MONTESQUIEU1956</v>
      </c>
      <c r="C1177" s="8" t="s">
        <v>983</v>
      </c>
      <c r="D1177" s="9" t="s">
        <v>3317</v>
      </c>
      <c r="E1177" s="10" t="str">
        <f>HYPERLINK("https://twitter.com/MONTESQUIEU1956/status/1071005970556510208","1071005970556510208")</f>
        <v>1071005970556510208</v>
      </c>
      <c r="F1177" s="11" t="s">
        <v>4408</v>
      </c>
      <c r="G1177" s="12"/>
      <c r="H1177" s="12"/>
      <c r="I1177" s="13">
        <v>0</v>
      </c>
      <c r="J1177" s="13">
        <v>0</v>
      </c>
      <c r="K1177" s="14" t="str">
        <f>HYPERLINK("http://www.facebook.com/twitter","Facebook")</f>
        <v>Facebook</v>
      </c>
      <c r="L1177" s="13">
        <v>17058</v>
      </c>
      <c r="M1177" s="13">
        <v>18542</v>
      </c>
      <c r="N1177" s="13">
        <v>499</v>
      </c>
      <c r="O1177" s="15"/>
      <c r="P1177" s="6">
        <v>40349.826168981483</v>
      </c>
      <c r="Q1177" s="16" t="s">
        <v>987</v>
      </c>
      <c r="R1177" s="17" t="s">
        <v>988</v>
      </c>
      <c r="S1177" s="11" t="s">
        <v>989</v>
      </c>
      <c r="T1177" s="12"/>
      <c r="U1177" s="10" t="str">
        <f t="shared" ref="U1177:U1178" si="198">HYPERLINK("https://pbs.twimg.com/profile_images/1261600286/MONTESQUIEU.jpg","View")</f>
        <v>View</v>
      </c>
    </row>
    <row r="1178" spans="1:21" ht="40.799999999999997">
      <c r="A1178" s="6">
        <v>43441.52643518518</v>
      </c>
      <c r="B1178" s="7" t="str">
        <f t="shared" si="197"/>
        <v>@MONTESQUIEU1956</v>
      </c>
      <c r="C1178" s="8" t="s">
        <v>983</v>
      </c>
      <c r="D1178" s="9" t="s">
        <v>3317</v>
      </c>
      <c r="E1178" s="10" t="str">
        <f>HYPERLINK("https://twitter.com/MONTESQUIEU1956/status/1071005919096524801","1071005919096524801")</f>
        <v>1071005919096524801</v>
      </c>
      <c r="F1178" s="11" t="s">
        <v>4409</v>
      </c>
      <c r="G1178" s="12"/>
      <c r="H1178" s="12"/>
      <c r="I1178" s="13">
        <v>0</v>
      </c>
      <c r="J1178" s="13">
        <v>0</v>
      </c>
      <c r="K1178" s="14" t="str">
        <f>HYPERLINK("http://twitter.com","Twitter Web Client")</f>
        <v>Twitter Web Client</v>
      </c>
      <c r="L1178" s="13">
        <v>17058</v>
      </c>
      <c r="M1178" s="13">
        <v>18542</v>
      </c>
      <c r="N1178" s="13">
        <v>499</v>
      </c>
      <c r="O1178" s="15"/>
      <c r="P1178" s="6">
        <v>40349.826168981483</v>
      </c>
      <c r="Q1178" s="16" t="s">
        <v>987</v>
      </c>
      <c r="R1178" s="17" t="s">
        <v>988</v>
      </c>
      <c r="S1178" s="11" t="s">
        <v>989</v>
      </c>
      <c r="T1178" s="12"/>
      <c r="U1178" s="10" t="str">
        <f t="shared" si="198"/>
        <v>View</v>
      </c>
    </row>
    <row r="1179" spans="1:21" ht="20.399999999999999">
      <c r="A1179" s="6">
        <v>43441.526180555556</v>
      </c>
      <c r="B1179" s="7" t="str">
        <f>HYPERLINK("https://twitter.com/LuisLeonardoV","@LuisLeonardoV")</f>
        <v>@LuisLeonardoV</v>
      </c>
      <c r="C1179" s="8" t="s">
        <v>4411</v>
      </c>
      <c r="D1179" s="9" t="s">
        <v>1317</v>
      </c>
      <c r="E1179" s="10" t="str">
        <f>HYPERLINK("https://twitter.com/LuisLeonardoV/status/1071005827119624192","1071005827119624192")</f>
        <v>1071005827119624192</v>
      </c>
      <c r="F1179" s="11" t="s">
        <v>576</v>
      </c>
      <c r="G1179" s="12"/>
      <c r="H1179" s="12"/>
      <c r="I1179" s="13">
        <v>0</v>
      </c>
      <c r="J1179" s="13">
        <v>0</v>
      </c>
      <c r="K1179" s="14" t="str">
        <f>HYPERLINK("http://www.facebook.com/twitter","Facebook")</f>
        <v>Facebook</v>
      </c>
      <c r="L1179" s="13">
        <v>87</v>
      </c>
      <c r="M1179" s="13">
        <v>577</v>
      </c>
      <c r="N1179" s="13">
        <v>0</v>
      </c>
      <c r="O1179" s="15"/>
      <c r="P1179" s="6">
        <v>40799.628391203703</v>
      </c>
      <c r="Q1179" s="16" t="s">
        <v>3231</v>
      </c>
      <c r="R1179" s="17" t="s">
        <v>4412</v>
      </c>
      <c r="S1179" s="12"/>
      <c r="T1179" s="12"/>
      <c r="U1179" s="10" t="str">
        <f>HYPERLINK("https://pbs.twimg.com/profile_images/953603125646188544/vVgwuEZ6.jpg","View")</f>
        <v>View</v>
      </c>
    </row>
    <row r="1180" spans="1:21" ht="20.399999999999999">
      <c r="A1180" s="6">
        <v>43441.525740740741</v>
      </c>
      <c r="B1180" s="7" t="str">
        <f>HYPERLINK("https://twitter.com/lmathaus66","@lmathaus66")</f>
        <v>@lmathaus66</v>
      </c>
      <c r="C1180" s="8" t="s">
        <v>4413</v>
      </c>
      <c r="D1180" s="9" t="s">
        <v>4414</v>
      </c>
      <c r="E1180" s="10" t="str">
        <f>HYPERLINK("https://twitter.com/lmathaus66/status/1071005671053815809","1071005671053815809")</f>
        <v>1071005671053815809</v>
      </c>
      <c r="F1180" s="11" t="s">
        <v>576</v>
      </c>
      <c r="G1180" s="12"/>
      <c r="H1180" s="12"/>
      <c r="I1180" s="13">
        <v>0</v>
      </c>
      <c r="J1180" s="13">
        <v>0</v>
      </c>
      <c r="K1180" s="14" t="str">
        <f t="shared" ref="K1180:K1181" si="199">HYPERLINK("http://twitter.com","Twitter Web Client")</f>
        <v>Twitter Web Client</v>
      </c>
      <c r="L1180" s="13">
        <v>71</v>
      </c>
      <c r="M1180" s="13">
        <v>276</v>
      </c>
      <c r="N1180" s="13">
        <v>1</v>
      </c>
      <c r="O1180" s="15"/>
      <c r="P1180" s="6">
        <v>42973.020613425921</v>
      </c>
      <c r="Q1180" s="12"/>
      <c r="R1180" s="19"/>
      <c r="S1180" s="12"/>
      <c r="T1180" s="12"/>
      <c r="U1180" s="10" t="str">
        <f>HYPERLINK("https://pbs.twimg.com/profile_images/1045072360544632833/tAZvhv0L.jpg","View")</f>
        <v>View</v>
      </c>
    </row>
    <row r="1181" spans="1:21" ht="20.399999999999999">
      <c r="A1181" s="6">
        <v>43441.524155092593</v>
      </c>
      <c r="B1181" s="7" t="str">
        <f>HYPERLINK("https://twitter.com/JohnHenryKurtz","@JohnHenryKurtz")</f>
        <v>@JohnHenryKurtz</v>
      </c>
      <c r="C1181" s="8" t="s">
        <v>4415</v>
      </c>
      <c r="D1181" s="9" t="s">
        <v>4416</v>
      </c>
      <c r="E1181" s="10" t="str">
        <f>HYPERLINK("https://twitter.com/JohnHenryKurtz/status/1071005093334528000","1071005093334528000")</f>
        <v>1071005093334528000</v>
      </c>
      <c r="F1181" s="11" t="s">
        <v>4417</v>
      </c>
      <c r="G1181" s="12"/>
      <c r="H1181" s="12"/>
      <c r="I1181" s="13">
        <v>0</v>
      </c>
      <c r="J1181" s="13">
        <v>0</v>
      </c>
      <c r="K1181" s="14" t="str">
        <f t="shared" si="199"/>
        <v>Twitter Web Client</v>
      </c>
      <c r="L1181" s="13">
        <v>620</v>
      </c>
      <c r="M1181" s="13">
        <v>709</v>
      </c>
      <c r="N1181" s="13">
        <v>8</v>
      </c>
      <c r="O1181" s="15"/>
      <c r="P1181" s="6">
        <v>41671.759097222224</v>
      </c>
      <c r="Q1181" s="16" t="s">
        <v>4418</v>
      </c>
      <c r="R1181" s="17" t="s">
        <v>4419</v>
      </c>
      <c r="S1181" s="11" t="s">
        <v>4420</v>
      </c>
      <c r="T1181" s="12"/>
      <c r="U1181" s="10" t="str">
        <f>HYPERLINK("https://pbs.twimg.com/profile_images/1060541837767860230/Jf3dY5ZS.jpg","View")</f>
        <v>View</v>
      </c>
    </row>
    <row r="1182" spans="1:21" ht="61.2">
      <c r="A1182" s="6">
        <v>43441.523784722223</v>
      </c>
      <c r="B1182" s="7" t="str">
        <f>HYPERLINK("https://twitter.com/Aldo_Vazquez1","@Aldo_Vazquez1")</f>
        <v>@Aldo_Vazquez1</v>
      </c>
      <c r="C1182" s="8" t="s">
        <v>4421</v>
      </c>
      <c r="D1182" s="9" t="s">
        <v>4422</v>
      </c>
      <c r="E1182" s="10" t="str">
        <f>HYPERLINK("https://twitter.com/Aldo_Vazquez1/status/1071004961205612544","1071004961205612544")</f>
        <v>1071004961205612544</v>
      </c>
      <c r="F1182" s="11" t="s">
        <v>4423</v>
      </c>
      <c r="G1182" s="12"/>
      <c r="H1182" s="12"/>
      <c r="I1182" s="13">
        <v>2</v>
      </c>
      <c r="J1182" s="13">
        <v>1</v>
      </c>
      <c r="K1182" s="14" t="str">
        <f>HYPERLINK("http://twitter.com/download/android","Twitter for Android")</f>
        <v>Twitter for Android</v>
      </c>
      <c r="L1182" s="13">
        <v>4626</v>
      </c>
      <c r="M1182" s="13">
        <v>887</v>
      </c>
      <c r="N1182" s="13">
        <v>49</v>
      </c>
      <c r="O1182" s="15"/>
      <c r="P1182" s="6">
        <v>40771.560162037036</v>
      </c>
      <c r="Q1182" s="16" t="s">
        <v>539</v>
      </c>
      <c r="R1182" s="17" t="s">
        <v>4424</v>
      </c>
      <c r="S1182" s="11" t="s">
        <v>4425</v>
      </c>
      <c r="T1182" s="12"/>
      <c r="U1182" s="10" t="str">
        <f>HYPERLINK("https://pbs.twimg.com/profile_images/984371156424765440/PhfkE_qs.jpg","View")</f>
        <v>View</v>
      </c>
    </row>
    <row r="1183" spans="1:21" ht="51">
      <c r="A1183" s="6">
        <v>43441.523391203707</v>
      </c>
      <c r="B1183" s="7" t="str">
        <f>HYPERLINK("https://twitter.com/RuizToros","@RuizToros")</f>
        <v>@RuizToros</v>
      </c>
      <c r="C1183" s="8" t="s">
        <v>4426</v>
      </c>
      <c r="D1183" s="9" t="s">
        <v>4427</v>
      </c>
      <c r="E1183" s="10" t="str">
        <f>HYPERLINK("https://twitter.com/RuizToros/status/1071004817898774528","1071004817898774528")</f>
        <v>1071004817898774528</v>
      </c>
      <c r="F1183" s="12"/>
      <c r="G1183" s="11" t="s">
        <v>4428</v>
      </c>
      <c r="H1183" s="12"/>
      <c r="I1183" s="13">
        <v>0</v>
      </c>
      <c r="J1183" s="13">
        <v>0</v>
      </c>
      <c r="K1183" s="14" t="str">
        <f>HYPERLINK("http://twitter.com","Twitter Web Client")</f>
        <v>Twitter Web Client</v>
      </c>
      <c r="L1183" s="13">
        <v>86</v>
      </c>
      <c r="M1183" s="13">
        <v>254</v>
      </c>
      <c r="N1183" s="13">
        <v>0</v>
      </c>
      <c r="O1183" s="15"/>
      <c r="P1183" s="6">
        <v>43063.036469907413</v>
      </c>
      <c r="Q1183" s="16" t="s">
        <v>4429</v>
      </c>
      <c r="R1183" s="17" t="s">
        <v>4430</v>
      </c>
      <c r="S1183" s="12"/>
      <c r="T1183" s="12"/>
      <c r="U1183" s="10" t="str">
        <f>HYPERLINK("https://pbs.twimg.com/profile_images/1068957201514065922/pB8BpJZk.jpg","View")</f>
        <v>View</v>
      </c>
    </row>
    <row r="1184" spans="1:21" ht="40.799999999999997">
      <c r="A1184" s="6">
        <v>43441.523113425923</v>
      </c>
      <c r="B1184" s="7" t="str">
        <f>HYPERLINK("https://twitter.com/NazarenoLinares","@NazarenoLinares")</f>
        <v>@NazarenoLinares</v>
      </c>
      <c r="C1184" s="8" t="s">
        <v>4431</v>
      </c>
      <c r="D1184" s="9" t="s">
        <v>4432</v>
      </c>
      <c r="E1184" s="10" t="str">
        <f>HYPERLINK("https://twitter.com/NazarenoLinares/status/1071004716170125312","1071004716170125312")</f>
        <v>1071004716170125312</v>
      </c>
      <c r="F1184" s="12"/>
      <c r="G1184" s="12"/>
      <c r="H1184" s="12"/>
      <c r="I1184" s="13">
        <v>0</v>
      </c>
      <c r="J1184" s="13">
        <v>2</v>
      </c>
      <c r="K1184" s="14" t="str">
        <f>HYPERLINK("http://twitter.com/download/android","Twitter for Android")</f>
        <v>Twitter for Android</v>
      </c>
      <c r="L1184" s="13">
        <v>1796</v>
      </c>
      <c r="M1184" s="13">
        <v>35</v>
      </c>
      <c r="N1184" s="13">
        <v>13</v>
      </c>
      <c r="O1184" s="15"/>
      <c r="P1184" s="6">
        <v>40572.764374999999</v>
      </c>
      <c r="Q1184" s="16" t="s">
        <v>4433</v>
      </c>
      <c r="R1184" s="17" t="s">
        <v>4434</v>
      </c>
      <c r="S1184" s="11" t="s">
        <v>4435</v>
      </c>
      <c r="T1184" s="12"/>
      <c r="U1184" s="10" t="str">
        <f>HYPERLINK("https://pbs.twimg.com/profile_images/1056234622604992513/DCQMfvpO.jpg","View")</f>
        <v>View</v>
      </c>
    </row>
    <row r="1185" spans="1:21" ht="30.6">
      <c r="A1185" s="6">
        <v>43441.522233796291</v>
      </c>
      <c r="B1185" s="7" t="str">
        <f>HYPERLINK("https://twitter.com/ALVAREZGusf","@ALVAREZGusf")</f>
        <v>@ALVAREZGusf</v>
      </c>
      <c r="C1185" s="8" t="s">
        <v>4436</v>
      </c>
      <c r="D1185" s="9" t="s">
        <v>4437</v>
      </c>
      <c r="E1185" s="10" t="str">
        <f>HYPERLINK("https://twitter.com/ALVAREZGusf/status/1071004398984355840","1071004398984355840")</f>
        <v>1071004398984355840</v>
      </c>
      <c r="F1185" s="11" t="s">
        <v>576</v>
      </c>
      <c r="G1185" s="12"/>
      <c r="H1185" s="12"/>
      <c r="I1185" s="13">
        <v>0</v>
      </c>
      <c r="J1185" s="13">
        <v>0</v>
      </c>
      <c r="K1185" s="14" t="str">
        <f>HYPERLINK("http://twitter.com","Twitter Web Client")</f>
        <v>Twitter Web Client</v>
      </c>
      <c r="L1185" s="13">
        <v>2184</v>
      </c>
      <c r="M1185" s="13">
        <v>4355</v>
      </c>
      <c r="N1185" s="13">
        <v>18</v>
      </c>
      <c r="O1185" s="15"/>
      <c r="P1185" s="6">
        <v>41373.567141203705</v>
      </c>
      <c r="Q1185" s="12"/>
      <c r="R1185" s="17" t="s">
        <v>4438</v>
      </c>
      <c r="S1185" s="12"/>
      <c r="T1185" s="12"/>
      <c r="U1185" s="10" t="str">
        <f>HYPERLINK("https://pbs.twimg.com/profile_images/1049782746321686529/PKA2cSya.jpg","View")</f>
        <v>View</v>
      </c>
    </row>
    <row r="1186" spans="1:21" ht="51">
      <c r="A1186" s="6">
        <v>43441.520833333328</v>
      </c>
      <c r="B1186" s="7" t="str">
        <f>HYPERLINK("https://twitter.com/magnet_es","@magnet_es")</f>
        <v>@magnet_es</v>
      </c>
      <c r="C1186" s="8" t="s">
        <v>2252</v>
      </c>
      <c r="D1186" s="9" t="s">
        <v>4439</v>
      </c>
      <c r="E1186" s="10" t="str">
        <f>HYPERLINK("https://twitter.com/magnet_es/status/1071003890089410565","1071003890089410565")</f>
        <v>1071003890089410565</v>
      </c>
      <c r="F1186" s="11" t="s">
        <v>2254</v>
      </c>
      <c r="G1186" s="12"/>
      <c r="H1186" s="12"/>
      <c r="I1186" s="13">
        <v>0</v>
      </c>
      <c r="J1186" s="13">
        <v>0</v>
      </c>
      <c r="K1186" s="14" t="str">
        <f>HYPERLINK("https://about.twitter.com/products/tweetdeck","TweetDeck")</f>
        <v>TweetDeck</v>
      </c>
      <c r="L1186" s="13">
        <v>25923</v>
      </c>
      <c r="M1186" s="13">
        <v>36</v>
      </c>
      <c r="N1186" s="13">
        <v>421</v>
      </c>
      <c r="O1186" s="18" t="s">
        <v>41</v>
      </c>
      <c r="P1186" s="6">
        <v>42124.466504629629</v>
      </c>
      <c r="Q1186" s="16" t="s">
        <v>2255</v>
      </c>
      <c r="R1186" s="17" t="s">
        <v>2256</v>
      </c>
      <c r="S1186" s="11" t="s">
        <v>2257</v>
      </c>
      <c r="T1186" s="12"/>
      <c r="U1186" s="10" t="str">
        <f>HYPERLINK("https://pbs.twimg.com/profile_images/776724820629327872/8oluYED0.jpg","View")</f>
        <v>View</v>
      </c>
    </row>
    <row r="1187" spans="1:21" ht="13.2">
      <c r="A1187" s="6">
        <v>43441.520266203705</v>
      </c>
      <c r="B1187" s="7" t="str">
        <f>HYPERLINK("https://twitter.com/koemansuko","@koemansuko")</f>
        <v>@koemansuko</v>
      </c>
      <c r="C1187" s="8" t="s">
        <v>4440</v>
      </c>
      <c r="D1187" s="9" t="s">
        <v>4441</v>
      </c>
      <c r="E1187" s="10" t="str">
        <f>HYPERLINK("https://twitter.com/koemansuko/status/1071003685902315521","1071003685902315521")</f>
        <v>1071003685902315521</v>
      </c>
      <c r="F1187" s="11" t="s">
        <v>4442</v>
      </c>
      <c r="G1187" s="12"/>
      <c r="H1187" s="12"/>
      <c r="I1187" s="13">
        <v>0</v>
      </c>
      <c r="J1187" s="13">
        <v>0</v>
      </c>
      <c r="K1187" s="14" t="str">
        <f>HYPERLINK("http://twitter.com/download/android","Twitter for Android")</f>
        <v>Twitter for Android</v>
      </c>
      <c r="L1187" s="13">
        <v>140</v>
      </c>
      <c r="M1187" s="13">
        <v>263</v>
      </c>
      <c r="N1187" s="13">
        <v>0</v>
      </c>
      <c r="O1187" s="15"/>
      <c r="P1187" s="6">
        <v>41114.804756944446</v>
      </c>
      <c r="Q1187" s="16" t="s">
        <v>4443</v>
      </c>
      <c r="R1187" s="17" t="s">
        <v>4444</v>
      </c>
      <c r="S1187" s="12"/>
      <c r="T1187" s="12"/>
      <c r="U1187" s="10" t="str">
        <f>HYPERLINK("https://pbs.twimg.com/profile_images/776461423765549056/ni4ZRKvL.jpg","View")</f>
        <v>View</v>
      </c>
    </row>
    <row r="1188" spans="1:21" ht="20.399999999999999">
      <c r="A1188" s="6">
        <v>43441.520138888889</v>
      </c>
      <c r="B1188" s="7" t="str">
        <f>HYPERLINK("https://twitter.com/EP_Mundo","@EP_Mundo")</f>
        <v>@EP_Mundo</v>
      </c>
      <c r="C1188" s="8" t="s">
        <v>735</v>
      </c>
      <c r="D1188" s="9" t="s">
        <v>2756</v>
      </c>
      <c r="E1188" s="10" t="str">
        <f>HYPERLINK("https://twitter.com/EP_Mundo/status/1071003637810413568","1071003637810413568")</f>
        <v>1071003637810413568</v>
      </c>
      <c r="F1188" s="11" t="s">
        <v>2757</v>
      </c>
      <c r="G1188" s="11" t="s">
        <v>4445</v>
      </c>
      <c r="H1188" s="12"/>
      <c r="I1188" s="13">
        <v>1</v>
      </c>
      <c r="J1188" s="13">
        <v>0</v>
      </c>
      <c r="K1188" s="14" t="str">
        <f>HYPERLINK("http://epmundo.com","Tuiteo TOP EP (2)")</f>
        <v>Tuiteo TOP EP (2)</v>
      </c>
      <c r="L1188" s="13">
        <v>510220</v>
      </c>
      <c r="M1188" s="13">
        <v>301867</v>
      </c>
      <c r="N1188" s="13">
        <v>1363</v>
      </c>
      <c r="O1188" s="15"/>
      <c r="P1188" s="6">
        <v>40203.223078703704</v>
      </c>
      <c r="Q1188" s="12"/>
      <c r="R1188" s="17" t="s">
        <v>739</v>
      </c>
      <c r="S1188" s="11" t="s">
        <v>740</v>
      </c>
      <c r="T1188" s="12"/>
      <c r="U1188" s="10" t="str">
        <f>HYPERLINK("https://pbs.twimg.com/profile_images/958329583778099200/87-xiuzB.jpg","View")</f>
        <v>View</v>
      </c>
    </row>
    <row r="1189" spans="1:21" ht="51">
      <c r="A1189" s="6">
        <v>43441.520104166666</v>
      </c>
      <c r="B1189" s="7" t="str">
        <f>HYPERLINK("https://twitter.com/Linares9Provinc","@Linares9Provinc")</f>
        <v>@Linares9Provinc</v>
      </c>
      <c r="C1189" s="8" t="s">
        <v>4446</v>
      </c>
      <c r="D1189" s="9" t="s">
        <v>4447</v>
      </c>
      <c r="E1189" s="10" t="str">
        <f>HYPERLINK("https://twitter.com/Linares9Provinc/status/1071003627366551553","1071003627366551553")</f>
        <v>1071003627366551553</v>
      </c>
      <c r="F1189" s="12"/>
      <c r="G1189" s="11" t="s">
        <v>4448</v>
      </c>
      <c r="H1189" s="12"/>
      <c r="I1189" s="13">
        <v>1</v>
      </c>
      <c r="J1189" s="13">
        <v>4</v>
      </c>
      <c r="K1189" s="14" t="str">
        <f>HYPERLINK("http://twitter.com","Twitter Web Client")</f>
        <v>Twitter Web Client</v>
      </c>
      <c r="L1189" s="13">
        <v>1421</v>
      </c>
      <c r="M1189" s="13">
        <v>52</v>
      </c>
      <c r="N1189" s="13">
        <v>14</v>
      </c>
      <c r="O1189" s="15"/>
      <c r="P1189" s="6">
        <v>41064.508668981478</v>
      </c>
      <c r="Q1189" s="16" t="s">
        <v>2342</v>
      </c>
      <c r="R1189" s="17" t="s">
        <v>4449</v>
      </c>
      <c r="S1189" s="11" t="s">
        <v>4450</v>
      </c>
      <c r="T1189" s="12"/>
      <c r="U1189" s="10" t="str">
        <f>HYPERLINK("https://pbs.twimg.com/profile_images/1002683609470337024/akRKk1Wz.jpg","View")</f>
        <v>View</v>
      </c>
    </row>
    <row r="1190" spans="1:21" ht="40.799999999999997">
      <c r="A1190" s="6">
        <v>43441.51971064815</v>
      </c>
      <c r="B1190" s="7" t="str">
        <f t="shared" ref="B1190:B1191" si="200">HYPERLINK("https://twitter.com/MONTESQUIEU1956","@MONTESQUIEU1956")</f>
        <v>@MONTESQUIEU1956</v>
      </c>
      <c r="C1190" s="8" t="s">
        <v>983</v>
      </c>
      <c r="D1190" s="9" t="s">
        <v>4451</v>
      </c>
      <c r="E1190" s="10" t="str">
        <f>HYPERLINK("https://twitter.com/MONTESQUIEU1956/status/1071003482243645441","1071003482243645441")</f>
        <v>1071003482243645441</v>
      </c>
      <c r="F1190" s="11" t="s">
        <v>246</v>
      </c>
      <c r="G1190" s="12"/>
      <c r="H1190" s="12"/>
      <c r="I1190" s="13">
        <v>0</v>
      </c>
      <c r="J1190" s="13">
        <v>0</v>
      </c>
      <c r="K1190" s="14" t="str">
        <f>HYPERLINK("http://www.facebook.com/twitter","Facebook")</f>
        <v>Facebook</v>
      </c>
      <c r="L1190" s="13">
        <v>17058</v>
      </c>
      <c r="M1190" s="13">
        <v>18542</v>
      </c>
      <c r="N1190" s="13">
        <v>499</v>
      </c>
      <c r="O1190" s="15"/>
      <c r="P1190" s="6">
        <v>40349.826168981483</v>
      </c>
      <c r="Q1190" s="16" t="s">
        <v>987</v>
      </c>
      <c r="R1190" s="17" t="s">
        <v>988</v>
      </c>
      <c r="S1190" s="11" t="s">
        <v>989</v>
      </c>
      <c r="T1190" s="12"/>
      <c r="U1190" s="10" t="str">
        <f t="shared" ref="U1190:U1191" si="201">HYPERLINK("https://pbs.twimg.com/profile_images/1261600286/MONTESQUIEU.jpg","View")</f>
        <v>View</v>
      </c>
    </row>
    <row r="1191" spans="1:21" ht="40.799999999999997">
      <c r="A1191" s="6">
        <v>43441.519571759258</v>
      </c>
      <c r="B1191" s="7" t="str">
        <f t="shared" si="200"/>
        <v>@MONTESQUIEU1956</v>
      </c>
      <c r="C1191" s="8" t="s">
        <v>983</v>
      </c>
      <c r="D1191" s="9" t="s">
        <v>3845</v>
      </c>
      <c r="E1191" s="10" t="str">
        <f>HYPERLINK("https://twitter.com/MONTESQUIEU1956/status/1071003435414228993","1071003435414228993")</f>
        <v>1071003435414228993</v>
      </c>
      <c r="F1191" s="11" t="s">
        <v>246</v>
      </c>
      <c r="G1191" s="12"/>
      <c r="H1191" s="12"/>
      <c r="I1191" s="13">
        <v>0</v>
      </c>
      <c r="J1191" s="13">
        <v>0</v>
      </c>
      <c r="K1191" s="14" t="str">
        <f>HYPERLINK("http://twitter.com","Twitter Web Client")</f>
        <v>Twitter Web Client</v>
      </c>
      <c r="L1191" s="13">
        <v>17058</v>
      </c>
      <c r="M1191" s="13">
        <v>18542</v>
      </c>
      <c r="N1191" s="13">
        <v>499</v>
      </c>
      <c r="O1191" s="15"/>
      <c r="P1191" s="6">
        <v>40349.826168981483</v>
      </c>
      <c r="Q1191" s="16" t="s">
        <v>987</v>
      </c>
      <c r="R1191" s="17" t="s">
        <v>988</v>
      </c>
      <c r="S1191" s="11" t="s">
        <v>989</v>
      </c>
      <c r="T1191" s="12"/>
      <c r="U1191" s="10" t="str">
        <f t="shared" si="201"/>
        <v>View</v>
      </c>
    </row>
    <row r="1192" spans="1:21" ht="81.599999999999994">
      <c r="A1192" s="6">
        <v>43441.519363425927</v>
      </c>
      <c r="B1192" s="7" t="str">
        <f>HYPERLINK("https://twitter.com/luchotebar","@luchotebar")</f>
        <v>@luchotebar</v>
      </c>
      <c r="C1192" s="8" t="s">
        <v>4452</v>
      </c>
      <c r="D1192" s="9" t="s">
        <v>4453</v>
      </c>
      <c r="E1192" s="10" t="str">
        <f>HYPERLINK("https://twitter.com/luchotebar/status/1071003358876581888","1071003358876581888")</f>
        <v>1071003358876581888</v>
      </c>
      <c r="F1192" s="11" t="s">
        <v>1131</v>
      </c>
      <c r="G1192" s="11" t="s">
        <v>1132</v>
      </c>
      <c r="H1192" s="12"/>
      <c r="I1192" s="13">
        <v>0</v>
      </c>
      <c r="J1192" s="13">
        <v>1</v>
      </c>
      <c r="K1192" s="14" t="str">
        <f>HYPERLINK("https://mobile.twitter.com","Twitter Lite")</f>
        <v>Twitter Lite</v>
      </c>
      <c r="L1192" s="13">
        <v>3416</v>
      </c>
      <c r="M1192" s="13">
        <v>3942</v>
      </c>
      <c r="N1192" s="13">
        <v>9</v>
      </c>
      <c r="O1192" s="15"/>
      <c r="P1192" s="6">
        <v>42373.676666666666</v>
      </c>
      <c r="Q1192" s="12"/>
      <c r="R1192" s="19"/>
      <c r="S1192" s="12"/>
      <c r="T1192" s="12"/>
      <c r="U1192" s="10" t="str">
        <f>HYPERLINK("https://pbs.twimg.com/profile_images/926401494684962817/VgiHhfhz.jpg","View")</f>
        <v>View</v>
      </c>
    </row>
    <row r="1193" spans="1:21" ht="40.799999999999997">
      <c r="A1193" s="6">
        <v>43441.519305555557</v>
      </c>
      <c r="B1193" s="7" t="str">
        <f>HYPERLINK("https://twitter.com/MONTESQUIEU1956","@MONTESQUIEU1956")</f>
        <v>@MONTESQUIEU1956</v>
      </c>
      <c r="C1193" s="8" t="s">
        <v>983</v>
      </c>
      <c r="D1193" s="9" t="s">
        <v>1524</v>
      </c>
      <c r="E1193" s="10" t="str">
        <f>HYPERLINK("https://twitter.com/MONTESQUIEU1956/status/1071003335979872258","1071003335979872258")</f>
        <v>1071003335979872258</v>
      </c>
      <c r="F1193" s="11" t="s">
        <v>115</v>
      </c>
      <c r="G1193" s="12"/>
      <c r="H1193" s="12"/>
      <c r="I1193" s="13">
        <v>0</v>
      </c>
      <c r="J1193" s="13">
        <v>0</v>
      </c>
      <c r="K1193" s="14" t="str">
        <f>HYPERLINK("http://www.facebook.com/twitter","Facebook")</f>
        <v>Facebook</v>
      </c>
      <c r="L1193" s="13">
        <v>17058</v>
      </c>
      <c r="M1193" s="13">
        <v>18542</v>
      </c>
      <c r="N1193" s="13">
        <v>499</v>
      </c>
      <c r="O1193" s="15"/>
      <c r="P1193" s="6">
        <v>40349.826168981483</v>
      </c>
      <c r="Q1193" s="16" t="s">
        <v>987</v>
      </c>
      <c r="R1193" s="17" t="s">
        <v>988</v>
      </c>
      <c r="S1193" s="11" t="s">
        <v>989</v>
      </c>
      <c r="T1193" s="12"/>
      <c r="U1193" s="10" t="str">
        <f>HYPERLINK("https://pbs.twimg.com/profile_images/1261600286/MONTESQUIEU.jpg","View")</f>
        <v>View</v>
      </c>
    </row>
    <row r="1194" spans="1:21" ht="51">
      <c r="A1194" s="6">
        <v>43441.51834490741</v>
      </c>
      <c r="B1194" s="7" t="str">
        <f>HYPERLINK("https://twitter.com/doncastersking","@doncastersking")</f>
        <v>@doncastersking</v>
      </c>
      <c r="C1194" s="8" t="s">
        <v>4454</v>
      </c>
      <c r="D1194" s="9" t="s">
        <v>4455</v>
      </c>
      <c r="E1194" s="10" t="str">
        <f>HYPERLINK("https://twitter.com/doncastersking/status/1071002991010955269","1071002991010955269")</f>
        <v>1071002991010955269</v>
      </c>
      <c r="F1194" s="12"/>
      <c r="G1194" s="12"/>
      <c r="H1194" s="12"/>
      <c r="I1194" s="13">
        <v>3</v>
      </c>
      <c r="J1194" s="13">
        <v>10</v>
      </c>
      <c r="K1194" s="14" t="str">
        <f t="shared" ref="K1194:K1195" si="202">HYPERLINK("http://twitter.com","Twitter Web Client")</f>
        <v>Twitter Web Client</v>
      </c>
      <c r="L1194" s="13">
        <v>10898</v>
      </c>
      <c r="M1194" s="13">
        <v>7354</v>
      </c>
      <c r="N1194" s="13">
        <v>162</v>
      </c>
      <c r="O1194" s="15"/>
      <c r="P1194" s="6">
        <v>40324.628506944442</v>
      </c>
      <c r="Q1194" s="16" t="s">
        <v>4456</v>
      </c>
      <c r="R1194" s="17" t="s">
        <v>4457</v>
      </c>
      <c r="S1194" s="11" t="s">
        <v>4458</v>
      </c>
      <c r="T1194" s="12"/>
      <c r="U1194" s="10" t="str">
        <f>HYPERLINK("https://pbs.twimg.com/profile_images/1046077525443706880/mgQG3j_G.jpg","View")</f>
        <v>View</v>
      </c>
    </row>
    <row r="1195" spans="1:21" ht="40.799999999999997">
      <c r="A1195" s="6">
        <v>43441.518182870372</v>
      </c>
      <c r="B1195" s="7" t="str">
        <f t="shared" ref="B1195:B1196" si="203">HYPERLINK("https://twitter.com/MONTESQUIEU1956","@MONTESQUIEU1956")</f>
        <v>@MONTESQUIEU1956</v>
      </c>
      <c r="C1195" s="8" t="s">
        <v>983</v>
      </c>
      <c r="D1195" s="9" t="s">
        <v>4459</v>
      </c>
      <c r="E1195" s="10" t="str">
        <f>HYPERLINK("https://twitter.com/MONTESQUIEU1956/status/1071002930432667648","1071002930432667648")</f>
        <v>1071002930432667648</v>
      </c>
      <c r="F1195" s="11" t="s">
        <v>2089</v>
      </c>
      <c r="G1195" s="12"/>
      <c r="H1195" s="12"/>
      <c r="I1195" s="13">
        <v>0</v>
      </c>
      <c r="J1195" s="13">
        <v>2</v>
      </c>
      <c r="K1195" s="14" t="str">
        <f t="shared" si="202"/>
        <v>Twitter Web Client</v>
      </c>
      <c r="L1195" s="13">
        <v>17058</v>
      </c>
      <c r="M1195" s="13">
        <v>18542</v>
      </c>
      <c r="N1195" s="13">
        <v>499</v>
      </c>
      <c r="O1195" s="15"/>
      <c r="P1195" s="6">
        <v>40349.826168981483</v>
      </c>
      <c r="Q1195" s="16" t="s">
        <v>987</v>
      </c>
      <c r="R1195" s="17" t="s">
        <v>988</v>
      </c>
      <c r="S1195" s="11" t="s">
        <v>989</v>
      </c>
      <c r="T1195" s="12"/>
      <c r="U1195" s="10" t="str">
        <f t="shared" ref="U1195:U1196" si="204">HYPERLINK("https://pbs.twimg.com/profile_images/1261600286/MONTESQUIEU.jpg","View")</f>
        <v>View</v>
      </c>
    </row>
    <row r="1196" spans="1:21" ht="40.799999999999997">
      <c r="A1196" s="6">
        <v>43441.518171296295</v>
      </c>
      <c r="B1196" s="7" t="str">
        <f t="shared" si="203"/>
        <v>@MONTESQUIEU1956</v>
      </c>
      <c r="C1196" s="8" t="s">
        <v>983</v>
      </c>
      <c r="D1196" s="9" t="s">
        <v>4460</v>
      </c>
      <c r="E1196" s="10" t="str">
        <f>HYPERLINK("https://twitter.com/MONTESQUIEU1956/status/1071002927937003520","1071002927937003520")</f>
        <v>1071002927937003520</v>
      </c>
      <c r="F1196" s="11" t="s">
        <v>2089</v>
      </c>
      <c r="G1196" s="12"/>
      <c r="H1196" s="12"/>
      <c r="I1196" s="13">
        <v>0</v>
      </c>
      <c r="J1196" s="13">
        <v>1</v>
      </c>
      <c r="K1196" s="14" t="str">
        <f>HYPERLINK("http://www.facebook.com/twitter","Facebook")</f>
        <v>Facebook</v>
      </c>
      <c r="L1196" s="13">
        <v>17058</v>
      </c>
      <c r="M1196" s="13">
        <v>18542</v>
      </c>
      <c r="N1196" s="13">
        <v>499</v>
      </c>
      <c r="O1196" s="15"/>
      <c r="P1196" s="6">
        <v>40349.826168981483</v>
      </c>
      <c r="Q1196" s="16" t="s">
        <v>987</v>
      </c>
      <c r="R1196" s="17" t="s">
        <v>988</v>
      </c>
      <c r="S1196" s="11" t="s">
        <v>989</v>
      </c>
      <c r="T1196" s="12"/>
      <c r="U1196" s="10" t="str">
        <f t="shared" si="204"/>
        <v>View</v>
      </c>
    </row>
    <row r="1197" spans="1:21" ht="40.799999999999997">
      <c r="A1197" s="6">
        <v>43441.517812499995</v>
      </c>
      <c r="B1197" s="7" t="str">
        <f>HYPERLINK("https://twitter.com/er_maike","@er_maike")</f>
        <v>@er_maike</v>
      </c>
      <c r="C1197" s="8" t="s">
        <v>4461</v>
      </c>
      <c r="D1197" s="9" t="s">
        <v>1842</v>
      </c>
      <c r="E1197" s="10" t="str">
        <f>HYPERLINK("https://twitter.com/er_maike/status/1071002796659535874","1071002796659535874")</f>
        <v>1071002796659535874</v>
      </c>
      <c r="F1197" s="11" t="s">
        <v>4462</v>
      </c>
      <c r="G1197" s="12"/>
      <c r="H1197" s="12"/>
      <c r="I1197" s="13">
        <v>0</v>
      </c>
      <c r="J1197" s="13">
        <v>0</v>
      </c>
      <c r="K1197" s="14" t="str">
        <f>HYPERLINK("http://twitter.com","Twitter Web Client")</f>
        <v>Twitter Web Client</v>
      </c>
      <c r="L1197" s="13">
        <v>367</v>
      </c>
      <c r="M1197" s="13">
        <v>464</v>
      </c>
      <c r="N1197" s="13">
        <v>4</v>
      </c>
      <c r="O1197" s="15"/>
      <c r="P1197" s="6">
        <v>40338.020856481482</v>
      </c>
      <c r="Q1197" s="16" t="s">
        <v>767</v>
      </c>
      <c r="R1197" s="17" t="s">
        <v>4463</v>
      </c>
      <c r="S1197" s="12"/>
      <c r="T1197" s="12"/>
      <c r="U1197" s="10" t="str">
        <f>HYPERLINK("https://pbs.twimg.com/profile_images/1052806412261359618/j9UgtP-T.jpg","View")</f>
        <v>View</v>
      </c>
    </row>
    <row r="1198" spans="1:21" ht="71.400000000000006">
      <c r="A1198" s="6">
        <v>43441.517094907409</v>
      </c>
      <c r="B1198" s="7" t="str">
        <f>HYPERLINK("https://twitter.com/PalomiX9","@PalomiX9")</f>
        <v>@PalomiX9</v>
      </c>
      <c r="C1198" s="8" t="s">
        <v>4464</v>
      </c>
      <c r="D1198" s="9" t="s">
        <v>4465</v>
      </c>
      <c r="E1198" s="10" t="str">
        <f>HYPERLINK("https://twitter.com/PalomiX9/status/1071002535375396864","1071002535375396864")</f>
        <v>1071002535375396864</v>
      </c>
      <c r="F1198" s="11" t="s">
        <v>54</v>
      </c>
      <c r="G1198" s="11" t="s">
        <v>55</v>
      </c>
      <c r="H1198" s="12"/>
      <c r="I1198" s="13">
        <v>0</v>
      </c>
      <c r="J1198" s="13">
        <v>0</v>
      </c>
      <c r="K1198" s="14" t="str">
        <f t="shared" ref="K1198:K1201" si="205">HYPERLINK("http://twitter.com/download/android","Twitter for Android")</f>
        <v>Twitter for Android</v>
      </c>
      <c r="L1198" s="13">
        <v>87</v>
      </c>
      <c r="M1198" s="13">
        <v>216</v>
      </c>
      <c r="N1198" s="13">
        <v>0</v>
      </c>
      <c r="O1198" s="15"/>
      <c r="P1198" s="6">
        <v>41282.456006944441</v>
      </c>
      <c r="Q1198" s="12"/>
      <c r="R1198" s="19"/>
      <c r="S1198" s="12"/>
      <c r="T1198" s="12"/>
      <c r="U1198" s="10" t="str">
        <f>HYPERLINK("https://pbs.twimg.com/profile_images/798535691755986944/saqCtKoP.jpg","View")</f>
        <v>View</v>
      </c>
    </row>
    <row r="1199" spans="1:21" ht="40.799999999999997">
      <c r="A1199" s="6">
        <v>43441.516134259262</v>
      </c>
      <c r="B1199" s="7" t="str">
        <f>HYPERLINK("https://twitter.com/eljaviel","@eljaviel")</f>
        <v>@eljaviel</v>
      </c>
      <c r="C1199" s="8" t="s">
        <v>4466</v>
      </c>
      <c r="D1199" s="9" t="s">
        <v>4467</v>
      </c>
      <c r="E1199" s="10" t="str">
        <f>HYPERLINK("https://twitter.com/eljaviel/status/1071002187495628800","1071002187495628800")</f>
        <v>1071002187495628800</v>
      </c>
      <c r="F1199" s="11" t="s">
        <v>4468</v>
      </c>
      <c r="G1199" s="12"/>
      <c r="H1199" s="12"/>
      <c r="I1199" s="13">
        <v>0</v>
      </c>
      <c r="J1199" s="13">
        <v>0</v>
      </c>
      <c r="K1199" s="14" t="str">
        <f t="shared" si="205"/>
        <v>Twitter for Android</v>
      </c>
      <c r="L1199" s="13">
        <v>870</v>
      </c>
      <c r="M1199" s="13">
        <v>765</v>
      </c>
      <c r="N1199" s="13">
        <v>68</v>
      </c>
      <c r="O1199" s="15"/>
      <c r="P1199" s="6">
        <v>39777.499293981484</v>
      </c>
      <c r="Q1199" s="16" t="s">
        <v>4469</v>
      </c>
      <c r="R1199" s="17" t="s">
        <v>4470</v>
      </c>
      <c r="S1199" s="11" t="s">
        <v>4471</v>
      </c>
      <c r="T1199" s="12"/>
      <c r="U1199" s="10" t="str">
        <f>HYPERLINK("https://pbs.twimg.com/profile_images/1069848838897352705/-qO1jsjX.jpg","View")</f>
        <v>View</v>
      </c>
    </row>
    <row r="1200" spans="1:21" ht="30.6">
      <c r="A1200" s="6">
        <v>43441.51525462963</v>
      </c>
      <c r="B1200" s="7" t="str">
        <f>HYPERLINK("https://twitter.com/karlseta_2","@karlseta_2")</f>
        <v>@karlseta_2</v>
      </c>
      <c r="C1200" s="8" t="s">
        <v>753</v>
      </c>
      <c r="D1200" s="9" t="s">
        <v>575</v>
      </c>
      <c r="E1200" s="10" t="str">
        <f>HYPERLINK("https://twitter.com/karlseta_2/status/1071001867696652288","1071001867696652288")</f>
        <v>1071001867696652288</v>
      </c>
      <c r="F1200" s="11" t="s">
        <v>576</v>
      </c>
      <c r="G1200" s="12"/>
      <c r="H1200" s="12"/>
      <c r="I1200" s="13">
        <v>2</v>
      </c>
      <c r="J1200" s="13">
        <v>3</v>
      </c>
      <c r="K1200" s="14" t="str">
        <f t="shared" si="205"/>
        <v>Twitter for Android</v>
      </c>
      <c r="L1200" s="13">
        <v>1237</v>
      </c>
      <c r="M1200" s="13">
        <v>1135</v>
      </c>
      <c r="N1200" s="13">
        <v>0</v>
      </c>
      <c r="O1200" s="15"/>
      <c r="P1200" s="6">
        <v>43209.593599537038</v>
      </c>
      <c r="Q1200" s="16" t="s">
        <v>754</v>
      </c>
      <c r="R1200" s="17" t="s">
        <v>755</v>
      </c>
      <c r="S1200" s="12"/>
      <c r="T1200" s="12"/>
      <c r="U1200" s="10" t="str">
        <f>HYPERLINK("https://pbs.twimg.com/profile_images/1057562733988798464/NVHu_6Bc.jpg","View")</f>
        <v>View</v>
      </c>
    </row>
    <row r="1201" spans="1:21" ht="51">
      <c r="A1201" s="6">
        <v>43441.515138888892</v>
      </c>
      <c r="B1201" s="7" t="str">
        <f>HYPERLINK("https://twitter.com/twiterdeelfakir","@twiterdeelfakir")</f>
        <v>@twiterdeelfakir</v>
      </c>
      <c r="C1201" s="8" t="s">
        <v>3501</v>
      </c>
      <c r="D1201" s="9" t="s">
        <v>4472</v>
      </c>
      <c r="E1201" s="10" t="str">
        <f>HYPERLINK("https://twitter.com/twiterdeelfakir/status/1071001826118549505","1071001826118549505")</f>
        <v>1071001826118549505</v>
      </c>
      <c r="F1201" s="11" t="s">
        <v>4473</v>
      </c>
      <c r="G1201" s="12"/>
      <c r="H1201" s="12"/>
      <c r="I1201" s="13">
        <v>13</v>
      </c>
      <c r="J1201" s="13">
        <v>10</v>
      </c>
      <c r="K1201" s="14" t="str">
        <f t="shared" si="205"/>
        <v>Twitter for Android</v>
      </c>
      <c r="L1201" s="13">
        <v>5472</v>
      </c>
      <c r="M1201" s="13">
        <v>5206</v>
      </c>
      <c r="N1201" s="13">
        <v>158</v>
      </c>
      <c r="O1201" s="15"/>
      <c r="P1201" s="6">
        <v>40306.563622685186</v>
      </c>
      <c r="Q1201" s="12"/>
      <c r="R1201" s="17" t="s">
        <v>3504</v>
      </c>
      <c r="S1201" s="12"/>
      <c r="T1201" s="12"/>
      <c r="U1201" s="10" t="str">
        <f>HYPERLINK("https://pbs.twimg.com/profile_images/1063432165164285954/TCn4sdvu.jpg","View")</f>
        <v>View</v>
      </c>
    </row>
    <row r="1202" spans="1:21" ht="13.2">
      <c r="A1202" s="6">
        <v>43441.514710648145</v>
      </c>
      <c r="B1202" s="7" t="str">
        <f>HYPERLINK("https://twitter.com/SchwarkZegarra","@SchwarkZegarra")</f>
        <v>@SchwarkZegarra</v>
      </c>
      <c r="C1202" s="8" t="s">
        <v>4474</v>
      </c>
      <c r="D1202" s="9" t="s">
        <v>1175</v>
      </c>
      <c r="E1202" s="10" t="str">
        <f>HYPERLINK("https://twitter.com/SchwarkZegarra/status/1071001673458466819","1071001673458466819")</f>
        <v>1071001673458466819</v>
      </c>
      <c r="F1202" s="11" t="s">
        <v>1176</v>
      </c>
      <c r="G1202" s="12"/>
      <c r="H1202" s="12"/>
      <c r="I1202" s="13">
        <v>0</v>
      </c>
      <c r="J1202" s="13">
        <v>1</v>
      </c>
      <c r="K1202" s="14" t="str">
        <f>HYPERLINK("http://twitter.com","Twitter Web Client")</f>
        <v>Twitter Web Client</v>
      </c>
      <c r="L1202" s="13">
        <v>42</v>
      </c>
      <c r="M1202" s="13">
        <v>56</v>
      </c>
      <c r="N1202" s="13">
        <v>0</v>
      </c>
      <c r="O1202" s="15"/>
      <c r="P1202" s="6">
        <v>42987.571377314816</v>
      </c>
      <c r="Q1202" s="12"/>
      <c r="R1202" s="19"/>
      <c r="S1202" s="12"/>
      <c r="T1202" s="12"/>
      <c r="U1202" s="18" t="s">
        <v>67</v>
      </c>
    </row>
    <row r="1203" spans="1:21" ht="20.399999999999999">
      <c r="A1203" s="6">
        <v>43441.513888888891</v>
      </c>
      <c r="B1203" s="7" t="str">
        <f>HYPERLINK("https://twitter.com/qmunty","@qmunty")</f>
        <v>@qmunty</v>
      </c>
      <c r="C1203" s="8" t="s">
        <v>4151</v>
      </c>
      <c r="D1203" s="9" t="s">
        <v>4475</v>
      </c>
      <c r="E1203" s="10" t="str">
        <f>HYPERLINK("https://twitter.com/qmunty/status/1071001375293739009","1071001375293739009")</f>
        <v>1071001375293739009</v>
      </c>
      <c r="F1203" s="11" t="s">
        <v>4476</v>
      </c>
      <c r="G1203" s="12"/>
      <c r="H1203" s="12"/>
      <c r="I1203" s="13">
        <v>0</v>
      </c>
      <c r="J1203" s="13">
        <v>0</v>
      </c>
      <c r="K1203" s="14" t="str">
        <f>HYPERLINK("https://buffer.com","Buffer")</f>
        <v>Buffer</v>
      </c>
      <c r="L1203" s="13">
        <v>6691</v>
      </c>
      <c r="M1203" s="13">
        <v>1523</v>
      </c>
      <c r="N1203" s="13">
        <v>269</v>
      </c>
      <c r="O1203" s="15"/>
      <c r="P1203" s="6">
        <v>40077.707986111112</v>
      </c>
      <c r="Q1203" s="16" t="s">
        <v>4154</v>
      </c>
      <c r="R1203" s="17" t="s">
        <v>4155</v>
      </c>
      <c r="S1203" s="11" t="s">
        <v>4156</v>
      </c>
      <c r="T1203" s="12"/>
      <c r="U1203" s="10" t="str">
        <f>HYPERLINK("https://pbs.twimg.com/profile_images/1739128206/Panther-Logo-Twitter.jpg","View")</f>
        <v>View</v>
      </c>
    </row>
    <row r="1204" spans="1:21" ht="20.399999999999999">
      <c r="A1204" s="6">
        <v>43441.513587962967</v>
      </c>
      <c r="B1204" s="7" t="str">
        <f>HYPERLINK("https://twitter.com/casa_lino","@casa_lino")</f>
        <v>@casa_lino</v>
      </c>
      <c r="C1204" s="8" t="s">
        <v>4477</v>
      </c>
      <c r="D1204" s="9" t="s">
        <v>4478</v>
      </c>
      <c r="E1204" s="10" t="str">
        <f>HYPERLINK("https://twitter.com/casa_lino/status/1071001266761986050","1071001266761986050")</f>
        <v>1071001266761986050</v>
      </c>
      <c r="F1204" s="12"/>
      <c r="G1204" s="12"/>
      <c r="H1204" s="12"/>
      <c r="I1204" s="13">
        <v>0</v>
      </c>
      <c r="J1204" s="13">
        <v>0</v>
      </c>
      <c r="K1204" s="14" t="str">
        <f>HYPERLINK("http://twitter.com/download/android","Twitter for Android")</f>
        <v>Twitter for Android</v>
      </c>
      <c r="L1204" s="13">
        <v>494</v>
      </c>
      <c r="M1204" s="13">
        <v>474</v>
      </c>
      <c r="N1204" s="13">
        <v>4</v>
      </c>
      <c r="O1204" s="15"/>
      <c r="P1204" s="6">
        <v>41285.85765046296</v>
      </c>
      <c r="Q1204" s="12"/>
      <c r="R1204" s="19"/>
      <c r="S1204" s="12"/>
      <c r="T1204" s="12"/>
      <c r="U1204" s="10" t="str">
        <f>HYPERLINK("https://pbs.twimg.com/profile_images/948681750703673344/hDREdmVI.jpg","View")</f>
        <v>View</v>
      </c>
    </row>
    <row r="1205" spans="1:21" ht="81.599999999999994">
      <c r="A1205" s="6">
        <v>43441.512916666667</v>
      </c>
      <c r="B1205" s="7" t="str">
        <f>HYPERLINK("https://twitter.com/yesiort03018238","@yesiort03018238")</f>
        <v>@yesiort03018238</v>
      </c>
      <c r="C1205" s="8" t="s">
        <v>4479</v>
      </c>
      <c r="D1205" s="9" t="s">
        <v>4480</v>
      </c>
      <c r="E1205" s="10" t="str">
        <f>HYPERLINK("https://twitter.com/yesiort03018238/status/1071001021919375362","1071001021919375362")</f>
        <v>1071001021919375362</v>
      </c>
      <c r="F1205" s="11" t="s">
        <v>4481</v>
      </c>
      <c r="G1205" s="11" t="s">
        <v>4482</v>
      </c>
      <c r="H1205" s="12"/>
      <c r="I1205" s="13">
        <v>0</v>
      </c>
      <c r="J1205" s="13">
        <v>0</v>
      </c>
      <c r="K1205" s="14" t="str">
        <f>HYPERLINK("https://dlvrit.com/","dlvr.it")</f>
        <v>dlvr.it</v>
      </c>
      <c r="L1205" s="13">
        <v>5</v>
      </c>
      <c r="M1205" s="13">
        <v>0</v>
      </c>
      <c r="N1205" s="13">
        <v>0</v>
      </c>
      <c r="O1205" s="15"/>
      <c r="P1205" s="6">
        <v>43203.833506944444</v>
      </c>
      <c r="Q1205" s="16" t="s">
        <v>4479</v>
      </c>
      <c r="R1205" s="17" t="s">
        <v>4483</v>
      </c>
      <c r="S1205" s="11" t="s">
        <v>4484</v>
      </c>
      <c r="T1205" s="12"/>
      <c r="U1205" s="10" t="str">
        <f>HYPERLINK("https://pbs.twimg.com/profile_images/984862329081946114/Vv0943Ke.jpg","View")</f>
        <v>View</v>
      </c>
    </row>
    <row r="1206" spans="1:21" ht="91.8">
      <c r="A1206" s="6">
        <v>43441.509699074071</v>
      </c>
      <c r="B1206" s="7" t="str">
        <f>HYPERLINK("https://twitter.com/soleperezsbt","@soleperezsbt")</f>
        <v>@soleperezsbt</v>
      </c>
      <c r="C1206" s="8" t="s">
        <v>4485</v>
      </c>
      <c r="D1206" s="9" t="s">
        <v>4486</v>
      </c>
      <c r="E1206" s="10" t="str">
        <f>HYPERLINK("https://twitter.com/soleperezsbt/status/1070999856091750400","1070999856091750400")</f>
        <v>1070999856091750400</v>
      </c>
      <c r="F1206" s="16" t="s">
        <v>4487</v>
      </c>
      <c r="G1206" s="12"/>
      <c r="H1206" s="12"/>
      <c r="I1206" s="13">
        <v>2</v>
      </c>
      <c r="J1206" s="13">
        <v>2</v>
      </c>
      <c r="K1206" s="14" t="str">
        <f t="shared" ref="K1206:K1207" si="206">HYPERLINK("http://twitter.com/download/android","Twitter for Android")</f>
        <v>Twitter for Android</v>
      </c>
      <c r="L1206" s="13">
        <v>1018</v>
      </c>
      <c r="M1206" s="13">
        <v>341</v>
      </c>
      <c r="N1206" s="13">
        <v>52</v>
      </c>
      <c r="O1206" s="15"/>
      <c r="P1206" s="6">
        <v>40947.111689814818</v>
      </c>
      <c r="Q1206" s="16" t="s">
        <v>4488</v>
      </c>
      <c r="R1206" s="17" t="s">
        <v>4489</v>
      </c>
      <c r="S1206" s="12"/>
      <c r="T1206" s="12"/>
      <c r="U1206" s="10" t="str">
        <f>HYPERLINK("https://pbs.twimg.com/profile_images/1068563095608528896/c4-oWX_x.jpg","View")</f>
        <v>View</v>
      </c>
    </row>
    <row r="1207" spans="1:21" ht="20.399999999999999">
      <c r="A1207" s="6">
        <v>43441.509618055556</v>
      </c>
      <c r="B1207" s="7" t="str">
        <f>HYPERLINK("https://twitter.com/espana_karmen","@espana_karmen")</f>
        <v>@espana_karmen</v>
      </c>
      <c r="C1207" s="8" t="s">
        <v>4490</v>
      </c>
      <c r="D1207" s="9" t="s">
        <v>4491</v>
      </c>
      <c r="E1207" s="10" t="str">
        <f>HYPERLINK("https://twitter.com/espana_karmen/status/1070999825481641984","1070999825481641984")</f>
        <v>1070999825481641984</v>
      </c>
      <c r="F1207" s="11" t="s">
        <v>1176</v>
      </c>
      <c r="G1207" s="12"/>
      <c r="H1207" s="12"/>
      <c r="I1207" s="13">
        <v>40</v>
      </c>
      <c r="J1207" s="13">
        <v>49</v>
      </c>
      <c r="K1207" s="14" t="str">
        <f t="shared" si="206"/>
        <v>Twitter for Android</v>
      </c>
      <c r="L1207" s="13">
        <v>415</v>
      </c>
      <c r="M1207" s="13">
        <v>357</v>
      </c>
      <c r="N1207" s="13">
        <v>1</v>
      </c>
      <c r="O1207" s="15"/>
      <c r="P1207" s="6">
        <v>43412.765960648147</v>
      </c>
      <c r="Q1207" s="16" t="s">
        <v>60</v>
      </c>
      <c r="R1207" s="17" t="s">
        <v>4492</v>
      </c>
      <c r="S1207" s="12"/>
      <c r="T1207" s="12"/>
      <c r="U1207" s="10" t="str">
        <f>HYPERLINK("https://pbs.twimg.com/profile_images/1060654728139411457/9a4xRgtg.jpg","View")</f>
        <v>View</v>
      </c>
    </row>
    <row r="1208" spans="1:21" ht="51">
      <c r="A1208" s="6">
        <v>43441.507847222223</v>
      </c>
      <c r="B1208" s="7" t="str">
        <f>HYPERLINK("https://twitter.com/Sevilla24H","@Sevilla24H")</f>
        <v>@Sevilla24H</v>
      </c>
      <c r="C1208" s="8" t="s">
        <v>4493</v>
      </c>
      <c r="D1208" s="9" t="s">
        <v>4494</v>
      </c>
      <c r="E1208" s="10" t="str">
        <f>HYPERLINK("https://twitter.com/Sevilla24H/status/1070999183908319233","1070999183908319233")</f>
        <v>1070999183908319233</v>
      </c>
      <c r="F1208" s="11" t="s">
        <v>4495</v>
      </c>
      <c r="G1208" s="12"/>
      <c r="H1208" s="12"/>
      <c r="I1208" s="13">
        <v>0</v>
      </c>
      <c r="J1208" s="13">
        <v>0</v>
      </c>
      <c r="K1208" s="14" t="str">
        <f>HYPERLINK("https://ifttt.com","IFTTT")</f>
        <v>IFTTT</v>
      </c>
      <c r="L1208" s="13">
        <v>511</v>
      </c>
      <c r="M1208" s="13">
        <v>750</v>
      </c>
      <c r="N1208" s="13">
        <v>11</v>
      </c>
      <c r="O1208" s="15"/>
      <c r="P1208" s="6">
        <v>41294.599583333329</v>
      </c>
      <c r="Q1208" s="16" t="s">
        <v>3630</v>
      </c>
      <c r="R1208" s="17" t="s">
        <v>4496</v>
      </c>
      <c r="S1208" s="11" t="s">
        <v>4497</v>
      </c>
      <c r="T1208" s="12"/>
      <c r="U1208" s="10" t="str">
        <f>HYPERLINK("https://pbs.twimg.com/profile_images/833777334108975104/fgeZLBXg.jpg","View")</f>
        <v>View</v>
      </c>
    </row>
    <row r="1209" spans="1:21" ht="20.399999999999999">
      <c r="A1209" s="6">
        <v>43441.506898148145</v>
      </c>
      <c r="B1209" s="7" t="str">
        <f>HYPERLINK("https://twitter.com/SpainItalyPI","@SpainItalyPI")</f>
        <v>@SpainItalyPI</v>
      </c>
      <c r="C1209" s="8" t="s">
        <v>4498</v>
      </c>
      <c r="D1209" s="9" t="s">
        <v>4499</v>
      </c>
      <c r="E1209" s="10" t="str">
        <f>HYPERLINK("https://twitter.com/SpainItalyPI/status/1070998840990490626","1070998840990490626")</f>
        <v>1070998840990490626</v>
      </c>
      <c r="F1209" s="11" t="s">
        <v>4500</v>
      </c>
      <c r="G1209" s="12"/>
      <c r="H1209" s="12"/>
      <c r="I1209" s="13">
        <v>0</v>
      </c>
      <c r="J1209" s="13">
        <v>0</v>
      </c>
      <c r="K1209" s="14" t="str">
        <f>HYPERLINK("https://www.google.com/","Google")</f>
        <v>Google</v>
      </c>
      <c r="L1209" s="13">
        <v>261</v>
      </c>
      <c r="M1209" s="13">
        <v>591</v>
      </c>
      <c r="N1209" s="13">
        <v>0</v>
      </c>
      <c r="O1209" s="15"/>
      <c r="P1209" s="6">
        <v>41962.461643518516</v>
      </c>
      <c r="Q1209" s="16" t="s">
        <v>4501</v>
      </c>
      <c r="R1209" s="17" t="s">
        <v>4502</v>
      </c>
      <c r="S1209" s="11" t="s">
        <v>4503</v>
      </c>
      <c r="T1209" s="12"/>
      <c r="U1209" s="10" t="str">
        <f>HYPERLINK("https://pbs.twimg.com/profile_images/1042710645664309248/QJ8kCzpw.jpg","View")</f>
        <v>View</v>
      </c>
    </row>
    <row r="1210" spans="1:21" ht="30.6">
      <c r="A1210" s="6">
        <v>43441.506712962961</v>
      </c>
      <c r="B1210" s="7" t="str">
        <f>HYPERLINK("https://twitter.com/ConsuG64","@ConsuG64")</f>
        <v>@ConsuG64</v>
      </c>
      <c r="C1210" s="8" t="s">
        <v>4504</v>
      </c>
      <c r="D1210" s="9" t="s">
        <v>4505</v>
      </c>
      <c r="E1210" s="10" t="str">
        <f>HYPERLINK("https://twitter.com/ConsuG64/status/1070998772963004416","1070998772963004416")</f>
        <v>1070998772963004416</v>
      </c>
      <c r="F1210" s="11" t="s">
        <v>4176</v>
      </c>
      <c r="G1210" s="12"/>
      <c r="H1210" s="12"/>
      <c r="I1210" s="13">
        <v>4</v>
      </c>
      <c r="J1210" s="13">
        <v>4</v>
      </c>
      <c r="K1210" s="14" t="str">
        <f>HYPERLINK("http://twitter.com/#!/download/ipad","Twitter for iPad")</f>
        <v>Twitter for iPad</v>
      </c>
      <c r="L1210" s="13">
        <v>2796</v>
      </c>
      <c r="M1210" s="13">
        <v>1965</v>
      </c>
      <c r="N1210" s="13">
        <v>22</v>
      </c>
      <c r="O1210" s="15"/>
      <c r="P1210" s="6">
        <v>40612.874768518523</v>
      </c>
      <c r="Q1210" s="16" t="s">
        <v>4506</v>
      </c>
      <c r="R1210" s="17" t="s">
        <v>4507</v>
      </c>
      <c r="S1210" s="11" t="s">
        <v>4508</v>
      </c>
      <c r="T1210" s="12"/>
      <c r="U1210" s="10" t="str">
        <f>HYPERLINK("https://pbs.twimg.com/profile_images/1054046008735420417/OmdbLQcI.jpg","View")</f>
        <v>View</v>
      </c>
    </row>
    <row r="1211" spans="1:21" ht="40.799999999999997">
      <c r="A1211" s="6">
        <v>43441.505844907406</v>
      </c>
      <c r="B1211" s="7" t="str">
        <f>HYPERLINK("https://twitter.com/JAndroidES","@JAndroidES")</f>
        <v>@JAndroidES</v>
      </c>
      <c r="C1211" s="22" t="s">
        <v>4509</v>
      </c>
      <c r="D1211" s="9" t="s">
        <v>575</v>
      </c>
      <c r="E1211" s="10" t="str">
        <f>HYPERLINK("https://twitter.com/JAndroidES/status/1070998457614258176","1070998457614258176")</f>
        <v>1070998457614258176</v>
      </c>
      <c r="F1211" s="11" t="s">
        <v>576</v>
      </c>
      <c r="G1211" s="12"/>
      <c r="H1211" s="12"/>
      <c r="I1211" s="13">
        <v>0</v>
      </c>
      <c r="J1211" s="13">
        <v>0</v>
      </c>
      <c r="K1211" s="14" t="str">
        <f>HYPERLINK("http://twitter.com/download/android","Twitter for Android")</f>
        <v>Twitter for Android</v>
      </c>
      <c r="L1211" s="13">
        <v>709</v>
      </c>
      <c r="M1211" s="13">
        <v>611</v>
      </c>
      <c r="N1211" s="13">
        <v>4</v>
      </c>
      <c r="O1211" s="15"/>
      <c r="P1211" s="6">
        <v>42159.060706018514</v>
      </c>
      <c r="Q1211" s="16" t="s">
        <v>230</v>
      </c>
      <c r="R1211" s="17" t="s">
        <v>4510</v>
      </c>
      <c r="S1211" s="12"/>
      <c r="T1211" s="12"/>
      <c r="U1211" s="10" t="str">
        <f>HYPERLINK("https://pbs.twimg.com/profile_images/1063264912904998913/KaVBSU09.jpg","View")</f>
        <v>View</v>
      </c>
    </row>
    <row r="1212" spans="1:21" ht="51">
      <c r="A1212" s="6">
        <v>43441.505706018521</v>
      </c>
      <c r="B1212" s="7" t="str">
        <f>HYPERLINK("https://twitter.com/SemanaSaLinares","@SemanaSaLinares")</f>
        <v>@SemanaSaLinares</v>
      </c>
      <c r="C1212" s="8" t="s">
        <v>4511</v>
      </c>
      <c r="D1212" s="9" t="s">
        <v>4512</v>
      </c>
      <c r="E1212" s="10" t="str">
        <f>HYPERLINK("https://twitter.com/SemanaSaLinares/status/1070998408805138432","1070998408805138432")</f>
        <v>1070998408805138432</v>
      </c>
      <c r="F1212" s="12"/>
      <c r="G1212" s="12"/>
      <c r="H1212" s="12"/>
      <c r="I1212" s="13">
        <v>0</v>
      </c>
      <c r="J1212" s="13">
        <v>1</v>
      </c>
      <c r="K1212" s="14" t="str">
        <f>HYPERLINK("https://ifttt.com","IFTTT")</f>
        <v>IFTTT</v>
      </c>
      <c r="L1212" s="13">
        <v>1655</v>
      </c>
      <c r="M1212" s="13">
        <v>66</v>
      </c>
      <c r="N1212" s="13">
        <v>15</v>
      </c>
      <c r="O1212" s="15"/>
      <c r="P1212" s="6">
        <v>41332.107129629629</v>
      </c>
      <c r="Q1212" s="12"/>
      <c r="R1212" s="17" t="s">
        <v>4513</v>
      </c>
      <c r="S1212" s="11" t="s">
        <v>4514</v>
      </c>
      <c r="T1212" s="12"/>
      <c r="U1212" s="10" t="str">
        <f>HYPERLINK("https://pbs.twimg.com/profile_images/558745596224233472/_bntElVu.jpeg","View")</f>
        <v>View</v>
      </c>
    </row>
    <row r="1213" spans="1:21" ht="51">
      <c r="A1213" s="6">
        <v>43441.505509259259</v>
      </c>
      <c r="B1213" s="7" t="str">
        <f>HYPERLINK("https://twitter.com/MCarmenph","@MCarmenph")</f>
        <v>@MCarmenph</v>
      </c>
      <c r="C1213" s="8" t="s">
        <v>4515</v>
      </c>
      <c r="D1213" s="9" t="s">
        <v>4516</v>
      </c>
      <c r="E1213" s="10" t="str">
        <f>HYPERLINK("https://twitter.com/MCarmenph/status/1070998338722557953","1070998338722557953")</f>
        <v>1070998338722557953</v>
      </c>
      <c r="F1213" s="12"/>
      <c r="G1213" s="12"/>
      <c r="H1213" s="12"/>
      <c r="I1213" s="13">
        <v>0</v>
      </c>
      <c r="J1213" s="13">
        <v>0</v>
      </c>
      <c r="K1213" s="14" t="str">
        <f>HYPERLINK("http://twitter.com/download/iphone","Twitter for iPhone")</f>
        <v>Twitter for iPhone</v>
      </c>
      <c r="L1213" s="13">
        <v>46</v>
      </c>
      <c r="M1213" s="13">
        <v>37</v>
      </c>
      <c r="N1213" s="13">
        <v>3</v>
      </c>
      <c r="O1213" s="15"/>
      <c r="P1213" s="6">
        <v>41369.994143518517</v>
      </c>
      <c r="Q1213" s="12"/>
      <c r="R1213" s="19"/>
      <c r="S1213" s="12"/>
      <c r="T1213" s="12"/>
      <c r="U1213" s="10" t="str">
        <f>HYPERLINK("https://pbs.twimg.com/profile_images/525768622422384640/R9ek1wZn.jpeg","View")</f>
        <v>View</v>
      </c>
    </row>
    <row r="1214" spans="1:21" ht="30.6">
      <c r="A1214" s="6">
        <v>43441.503159722226</v>
      </c>
      <c r="B1214" s="7" t="str">
        <f>HYPERLINK("https://twitter.com/bike_david","@bike_david")</f>
        <v>@bike_david</v>
      </c>
      <c r="C1214" s="8" t="s">
        <v>2041</v>
      </c>
      <c r="D1214" s="9" t="s">
        <v>4517</v>
      </c>
      <c r="E1214" s="10" t="str">
        <f>HYPERLINK("https://twitter.com/bike_david/status/1070997486507044864","1070997486507044864")</f>
        <v>1070997486507044864</v>
      </c>
      <c r="F1214" s="12"/>
      <c r="G1214" s="12"/>
      <c r="H1214" s="12"/>
      <c r="I1214" s="13">
        <v>0</v>
      </c>
      <c r="J1214" s="13">
        <v>0</v>
      </c>
      <c r="K1214" s="14" t="str">
        <f>HYPERLINK("http://twitter.com/download/android","Twitter for Android")</f>
        <v>Twitter for Android</v>
      </c>
      <c r="L1214" s="13">
        <v>77</v>
      </c>
      <c r="M1214" s="13">
        <v>454</v>
      </c>
      <c r="N1214" s="13">
        <v>1</v>
      </c>
      <c r="O1214" s="15"/>
      <c r="P1214" s="6">
        <v>40677.727106481485</v>
      </c>
      <c r="Q1214" s="12"/>
      <c r="R1214" s="19"/>
      <c r="S1214" s="12"/>
      <c r="T1214" s="12"/>
      <c r="U1214" s="10" t="str">
        <f>HYPERLINK("https://pbs.twimg.com/profile_images/756091999854493701/zKr4UwPr.jpg","View")</f>
        <v>View</v>
      </c>
    </row>
    <row r="1215" spans="1:21" ht="30.6">
      <c r="A1215" s="6">
        <v>43441.503009259264</v>
      </c>
      <c r="B1215" s="7" t="str">
        <f>HYPERLINK("https://twitter.com/CAUTEXA","@CAUTEXA")</f>
        <v>@CAUTEXA</v>
      </c>
      <c r="C1215" s="8" t="s">
        <v>3028</v>
      </c>
      <c r="D1215" s="9" t="s">
        <v>2164</v>
      </c>
      <c r="E1215" s="10" t="str">
        <f>HYPERLINK("https://twitter.com/CAUTEXA/status/1070997431322636288","1070997431322636288")</f>
        <v>1070997431322636288</v>
      </c>
      <c r="F1215" s="11" t="s">
        <v>576</v>
      </c>
      <c r="G1215" s="12"/>
      <c r="H1215" s="12"/>
      <c r="I1215" s="13">
        <v>0</v>
      </c>
      <c r="J1215" s="13">
        <v>0</v>
      </c>
      <c r="K1215" s="14" t="str">
        <f>HYPERLINK("http://twitter.com","Twitter Web Client")</f>
        <v>Twitter Web Client</v>
      </c>
      <c r="L1215" s="13">
        <v>103</v>
      </c>
      <c r="M1215" s="13">
        <v>266</v>
      </c>
      <c r="N1215" s="13">
        <v>1</v>
      </c>
      <c r="O1215" s="15"/>
      <c r="P1215" s="6">
        <v>40532.002060185187</v>
      </c>
      <c r="Q1215" s="16" t="s">
        <v>1560</v>
      </c>
      <c r="R1215" s="19"/>
      <c r="S1215" s="12"/>
      <c r="T1215" s="12"/>
      <c r="U1215" s="10" t="str">
        <f>HYPERLINK("https://pbs.twimg.com/profile_images/1834253769/MGA.jpg","View")</f>
        <v>View</v>
      </c>
    </row>
    <row r="1216" spans="1:21" ht="40.799999999999997">
      <c r="A1216" s="6">
        <v>43441.50236111111</v>
      </c>
      <c r="B1216" s="7" t="str">
        <f>HYPERLINK("https://twitter.com/apicatoste","@apicatoste")</f>
        <v>@apicatoste</v>
      </c>
      <c r="C1216" s="8" t="s">
        <v>4520</v>
      </c>
      <c r="D1216" s="9" t="s">
        <v>4521</v>
      </c>
      <c r="E1216" s="10" t="str">
        <f>HYPERLINK("https://twitter.com/apicatoste/status/1070997194830950400","1070997194830950400")</f>
        <v>1070997194830950400</v>
      </c>
      <c r="F1216" s="11" t="s">
        <v>1176</v>
      </c>
      <c r="G1216" s="12"/>
      <c r="H1216" s="12"/>
      <c r="I1216" s="13">
        <v>0</v>
      </c>
      <c r="J1216" s="13">
        <v>0</v>
      </c>
      <c r="K1216" s="14" t="str">
        <f>HYPERLINK("http://twitter.com/download/iphone","Twitter for iPhone")</f>
        <v>Twitter for iPhone</v>
      </c>
      <c r="L1216" s="13">
        <v>2141</v>
      </c>
      <c r="M1216" s="13">
        <v>1076</v>
      </c>
      <c r="N1216" s="13">
        <v>86</v>
      </c>
      <c r="O1216" s="15"/>
      <c r="P1216" s="6">
        <v>40333.807083333333</v>
      </c>
      <c r="Q1216" s="16" t="s">
        <v>4522</v>
      </c>
      <c r="R1216" s="17" t="s">
        <v>4523</v>
      </c>
      <c r="S1216" s="11" t="s">
        <v>4524</v>
      </c>
      <c r="T1216" s="12"/>
      <c r="U1216" s="10" t="str">
        <f>HYPERLINK("https://pbs.twimg.com/profile_images/1051167947820060673/lf0C5R1Z.jpg","View")</f>
        <v>View</v>
      </c>
    </row>
    <row r="1217" spans="1:21" ht="20.399999999999999">
      <c r="A1217" s="6">
        <v>43441.502083333333</v>
      </c>
      <c r="B1217" s="7" t="str">
        <f>HYPERLINK("https://twitter.com/sumariumcom","@sumariumcom")</f>
        <v>@sumariumcom</v>
      </c>
      <c r="C1217" s="8" t="s">
        <v>4525</v>
      </c>
      <c r="D1217" s="9" t="s">
        <v>4526</v>
      </c>
      <c r="E1217" s="10" t="str">
        <f>HYPERLINK("https://twitter.com/sumariumcom/status/1070997097971769344","1070997097971769344")</f>
        <v>1070997097971769344</v>
      </c>
      <c r="F1217" s="11" t="s">
        <v>4527</v>
      </c>
      <c r="G1217" s="11" t="s">
        <v>4528</v>
      </c>
      <c r="H1217" s="12"/>
      <c r="I1217" s="13">
        <v>0</v>
      </c>
      <c r="J1217" s="13">
        <v>0</v>
      </c>
      <c r="K1217" s="14" t="str">
        <f>HYPERLINK("https://about.twitter.com/products/tweetdeck","TweetDeck")</f>
        <v>TweetDeck</v>
      </c>
      <c r="L1217" s="13">
        <v>164401</v>
      </c>
      <c r="M1217" s="13">
        <v>996</v>
      </c>
      <c r="N1217" s="13">
        <v>1122</v>
      </c>
      <c r="O1217" s="15"/>
      <c r="P1217" s="6">
        <v>40977.809594907405</v>
      </c>
      <c r="Q1217" s="16" t="s">
        <v>4529</v>
      </c>
      <c r="R1217" s="19"/>
      <c r="S1217" s="11" t="s">
        <v>4530</v>
      </c>
      <c r="T1217" s="12"/>
      <c r="U1217" s="10" t="str">
        <f>HYPERLINK("https://pbs.twimg.com/profile_images/1061987847874469888/mok5IDTt.jpg","View")</f>
        <v>View</v>
      </c>
    </row>
    <row r="1218" spans="1:21" ht="20.399999999999999">
      <c r="A1218" s="6">
        <v>43441.501840277779</v>
      </c>
      <c r="B1218" s="7" t="str">
        <f>HYPERLINK("https://twitter.com/idiaz81","@idiaz81")</f>
        <v>@idiaz81</v>
      </c>
      <c r="C1218" s="8" t="s">
        <v>4531</v>
      </c>
      <c r="D1218" s="9" t="s">
        <v>4532</v>
      </c>
      <c r="E1218" s="10" t="str">
        <f>HYPERLINK("https://twitter.com/idiaz81/status/1070997008276733952","1070997008276733952")</f>
        <v>1070997008276733952</v>
      </c>
      <c r="F1218" s="11" t="s">
        <v>246</v>
      </c>
      <c r="G1218" s="12"/>
      <c r="H1218" s="12"/>
      <c r="I1218" s="13">
        <v>0</v>
      </c>
      <c r="J1218" s="13">
        <v>0</v>
      </c>
      <c r="K1218" s="14" t="str">
        <f>HYPERLINK("http://www.facebook.com/twitter","Facebook")</f>
        <v>Facebook</v>
      </c>
      <c r="L1218" s="13">
        <v>117</v>
      </c>
      <c r="M1218" s="13">
        <v>238</v>
      </c>
      <c r="N1218" s="13">
        <v>2</v>
      </c>
      <c r="O1218" s="15"/>
      <c r="P1218" s="6">
        <v>40660.061400462961</v>
      </c>
      <c r="Q1218" s="16" t="s">
        <v>4533</v>
      </c>
      <c r="R1218" s="17" t="s">
        <v>4534</v>
      </c>
      <c r="S1218" s="12"/>
      <c r="T1218" s="12"/>
      <c r="U1218" s="10" t="str">
        <f>HYPERLINK("https://pbs.twimg.com/profile_images/378800000779514446/c8426b86861a1e8f9e2f44a07aba6248.jpeg","View")</f>
        <v>View</v>
      </c>
    </row>
    <row r="1219" spans="1:21" ht="40.799999999999997">
      <c r="A1219" s="6">
        <v>43441.501435185186</v>
      </c>
      <c r="B1219" s="7" t="str">
        <f>HYPERLINK("https://twitter.com/javiercheff","@javiercheff")</f>
        <v>@javiercheff</v>
      </c>
      <c r="C1219" s="8" t="s">
        <v>4535</v>
      </c>
      <c r="D1219" s="9" t="s">
        <v>4536</v>
      </c>
      <c r="E1219" s="10" t="str">
        <f>HYPERLINK("https://twitter.com/javiercheff/status/1070996860997898240","1070996860997898240")</f>
        <v>1070996860997898240</v>
      </c>
      <c r="F1219" s="12"/>
      <c r="G1219" s="12"/>
      <c r="H1219" s="12"/>
      <c r="I1219" s="13">
        <v>0</v>
      </c>
      <c r="J1219" s="13">
        <v>0</v>
      </c>
      <c r="K1219" s="14" t="str">
        <f>HYPERLINK("http://twitter.com/download/iphone","Twitter for iPhone")</f>
        <v>Twitter for iPhone</v>
      </c>
      <c r="L1219" s="13">
        <v>1074</v>
      </c>
      <c r="M1219" s="13">
        <v>1037</v>
      </c>
      <c r="N1219" s="13">
        <v>9</v>
      </c>
      <c r="O1219" s="15"/>
      <c r="P1219" s="6">
        <v>40529.567256944443</v>
      </c>
      <c r="Q1219" s="16" t="s">
        <v>60</v>
      </c>
      <c r="R1219" s="17" t="s">
        <v>4537</v>
      </c>
      <c r="S1219" s="12"/>
      <c r="T1219" s="12"/>
      <c r="U1219" s="10" t="str">
        <f>HYPERLINK("https://pbs.twimg.com/profile_images/2712210964/964a59ac9cf05f1860b96bfabc382f7f.jpeg","View")</f>
        <v>View</v>
      </c>
    </row>
    <row r="1220" spans="1:21" ht="20.399999999999999">
      <c r="A1220" s="6">
        <v>43441.500983796301</v>
      </c>
      <c r="B1220" s="7" t="str">
        <f>HYPERLINK("https://twitter.com/jalocu1960","@jalocu1960")</f>
        <v>@jalocu1960</v>
      </c>
      <c r="C1220" s="8" t="s">
        <v>4538</v>
      </c>
      <c r="D1220" s="9" t="s">
        <v>2742</v>
      </c>
      <c r="E1220" s="10" t="str">
        <f>HYPERLINK("https://twitter.com/jalocu1960/status/1070996695759183872","1070996695759183872")</f>
        <v>1070996695759183872</v>
      </c>
      <c r="F1220" s="11" t="s">
        <v>2743</v>
      </c>
      <c r="G1220" s="12"/>
      <c r="H1220" s="12"/>
      <c r="I1220" s="13">
        <v>6</v>
      </c>
      <c r="J1220" s="13">
        <v>4</v>
      </c>
      <c r="K1220" s="14" t="str">
        <f t="shared" ref="K1220:K1225" si="207">HYPERLINK("http://twitter.com/download/android","Twitter for Android")</f>
        <v>Twitter for Android</v>
      </c>
      <c r="L1220" s="13">
        <v>11730</v>
      </c>
      <c r="M1220" s="13">
        <v>11705</v>
      </c>
      <c r="N1220" s="13">
        <v>40</v>
      </c>
      <c r="O1220" s="15"/>
      <c r="P1220" s="6">
        <v>41484.028831018521</v>
      </c>
      <c r="Q1220" s="16" t="s">
        <v>1747</v>
      </c>
      <c r="R1220" s="19"/>
      <c r="S1220" s="12"/>
      <c r="T1220" s="12"/>
      <c r="U1220" s="10" t="str">
        <f>HYPERLINK("https://pbs.twimg.com/profile_images/648083291829047296/cI2DqGr_.jpg","View")</f>
        <v>View</v>
      </c>
    </row>
    <row r="1221" spans="1:21" ht="40.799999999999997">
      <c r="A1221" s="6">
        <v>43441.500254629631</v>
      </c>
      <c r="B1221" s="7" t="str">
        <f>HYPERLINK("https://twitter.com/jmesdi3","@jmesdi3")</f>
        <v>@jmesdi3</v>
      </c>
      <c r="C1221" s="8" t="s">
        <v>4539</v>
      </c>
      <c r="D1221" s="9" t="s">
        <v>575</v>
      </c>
      <c r="E1221" s="10" t="str">
        <f>HYPERLINK("https://twitter.com/jmesdi3/status/1070996433015316480","1070996433015316480")</f>
        <v>1070996433015316480</v>
      </c>
      <c r="F1221" s="11" t="s">
        <v>576</v>
      </c>
      <c r="G1221" s="12"/>
      <c r="H1221" s="12"/>
      <c r="I1221" s="13">
        <v>0</v>
      </c>
      <c r="J1221" s="13">
        <v>0</v>
      </c>
      <c r="K1221" s="14" t="str">
        <f t="shared" si="207"/>
        <v>Twitter for Android</v>
      </c>
      <c r="L1221" s="13">
        <v>1049</v>
      </c>
      <c r="M1221" s="13">
        <v>1031</v>
      </c>
      <c r="N1221" s="13">
        <v>11</v>
      </c>
      <c r="O1221" s="15"/>
      <c r="P1221" s="6">
        <v>42383.096412037034</v>
      </c>
      <c r="Q1221" s="16" t="s">
        <v>1073</v>
      </c>
      <c r="R1221" s="17" t="s">
        <v>4540</v>
      </c>
      <c r="S1221" s="12"/>
      <c r="T1221" s="12"/>
      <c r="U1221" s="10" t="str">
        <f>HYPERLINK("https://pbs.twimg.com/profile_images/687448638109409282/14j1PvR9.jpg","View")</f>
        <v>View</v>
      </c>
    </row>
    <row r="1222" spans="1:21" ht="40.799999999999997">
      <c r="A1222" s="6">
        <v>43441.499502314815</v>
      </c>
      <c r="B1222" s="7" t="str">
        <f>HYPERLINK("https://twitter.com/ana_urcelay","@ana_urcelay")</f>
        <v>@ana_urcelay</v>
      </c>
      <c r="C1222" s="8" t="s">
        <v>4541</v>
      </c>
      <c r="D1222" s="9" t="s">
        <v>4542</v>
      </c>
      <c r="E1222" s="10" t="str">
        <f>HYPERLINK("https://twitter.com/ana_urcelay/status/1070996161983590400","1070996161983590400")</f>
        <v>1070996161983590400</v>
      </c>
      <c r="F1222" s="11" t="s">
        <v>576</v>
      </c>
      <c r="G1222" s="12"/>
      <c r="H1222" s="12"/>
      <c r="I1222" s="13">
        <v>731</v>
      </c>
      <c r="J1222" s="13">
        <v>859</v>
      </c>
      <c r="K1222" s="14" t="str">
        <f t="shared" si="207"/>
        <v>Twitter for Android</v>
      </c>
      <c r="L1222" s="13">
        <v>9145</v>
      </c>
      <c r="M1222" s="13">
        <v>10045</v>
      </c>
      <c r="N1222" s="13">
        <v>36</v>
      </c>
      <c r="O1222" s="15"/>
      <c r="P1222" s="6">
        <v>40991.38863425926</v>
      </c>
      <c r="Q1222" s="16" t="s">
        <v>491</v>
      </c>
      <c r="R1222" s="17" t="s">
        <v>4543</v>
      </c>
      <c r="S1222" s="11" t="s">
        <v>4544</v>
      </c>
      <c r="T1222" s="12"/>
      <c r="U1222" s="10" t="str">
        <f>HYPERLINK("https://pbs.twimg.com/profile_images/577495643943366657/8YXo9v0b.jpeg","View")</f>
        <v>View</v>
      </c>
    </row>
    <row r="1223" spans="1:21" ht="20.399999999999999">
      <c r="A1223" s="6">
        <v>43441.498437499999</v>
      </c>
      <c r="B1223" s="7" t="str">
        <f>HYPERLINK("https://twitter.com/qqqqetru","@qqqqetru")</f>
        <v>@qqqqetru</v>
      </c>
      <c r="C1223" s="8" t="s">
        <v>4545</v>
      </c>
      <c r="D1223" s="9" t="s">
        <v>4546</v>
      </c>
      <c r="E1223" s="10" t="str">
        <f>HYPERLINK("https://twitter.com/qqqqetru/status/1070995773851099136","1070995773851099136")</f>
        <v>1070995773851099136</v>
      </c>
      <c r="F1223" s="11" t="s">
        <v>3042</v>
      </c>
      <c r="G1223" s="12"/>
      <c r="H1223" s="12"/>
      <c r="I1223" s="13">
        <v>0</v>
      </c>
      <c r="J1223" s="13">
        <v>0</v>
      </c>
      <c r="K1223" s="14" t="str">
        <f t="shared" si="207"/>
        <v>Twitter for Android</v>
      </c>
      <c r="L1223" s="13">
        <v>649</v>
      </c>
      <c r="M1223" s="13">
        <v>1194</v>
      </c>
      <c r="N1223" s="13">
        <v>2</v>
      </c>
      <c r="O1223" s="15"/>
      <c r="P1223" s="6">
        <v>40749.437719907408</v>
      </c>
      <c r="Q1223" s="12"/>
      <c r="R1223" s="19"/>
      <c r="S1223" s="12"/>
      <c r="T1223" s="12"/>
      <c r="U1223" s="10" t="str">
        <f>HYPERLINK("https://pbs.twimg.com/profile_images/1069734331780870144/d_KYpBFy.jpg","View")</f>
        <v>View</v>
      </c>
    </row>
    <row r="1224" spans="1:21" ht="40.799999999999997">
      <c r="A1224" s="6">
        <v>43441.498113425929</v>
      </c>
      <c r="B1224" s="7" t="str">
        <f>HYPERLINK("https://twitter.com/Rafa9Cid","@Rafa9Cid")</f>
        <v>@Rafa9Cid</v>
      </c>
      <c r="C1224" s="8" t="s">
        <v>4547</v>
      </c>
      <c r="D1224" s="9" t="s">
        <v>4548</v>
      </c>
      <c r="E1224" s="10" t="str">
        <f>HYPERLINK("https://twitter.com/Rafa9Cid/status/1070995655861174272","1070995655861174272")</f>
        <v>1070995655861174272</v>
      </c>
      <c r="F1224" s="11" t="s">
        <v>576</v>
      </c>
      <c r="G1224" s="12"/>
      <c r="H1224" s="12"/>
      <c r="I1224" s="13">
        <v>1</v>
      </c>
      <c r="J1224" s="13">
        <v>0</v>
      </c>
      <c r="K1224" s="14" t="str">
        <f t="shared" si="207"/>
        <v>Twitter for Android</v>
      </c>
      <c r="L1224" s="13">
        <v>1013</v>
      </c>
      <c r="M1224" s="13">
        <v>992</v>
      </c>
      <c r="N1224" s="13">
        <v>0</v>
      </c>
      <c r="O1224" s="15"/>
      <c r="P1224" s="6">
        <v>43037.828321759254</v>
      </c>
      <c r="Q1224" s="12"/>
      <c r="R1224" s="17" t="s">
        <v>4549</v>
      </c>
      <c r="S1224" s="12"/>
      <c r="T1224" s="12"/>
      <c r="U1224" s="10" t="str">
        <f>HYPERLINK("https://pbs.twimg.com/profile_images/924716998277419013/vsOApb0k.jpg","View")</f>
        <v>View</v>
      </c>
    </row>
    <row r="1225" spans="1:21" ht="30.6">
      <c r="A1225" s="6">
        <v>43441.497303240743</v>
      </c>
      <c r="B1225" s="7" t="str">
        <f>HYPERLINK("https://twitter.com/fox4617","@fox4617")</f>
        <v>@fox4617</v>
      </c>
      <c r="C1225" s="8" t="s">
        <v>4550</v>
      </c>
      <c r="D1225" s="9" t="s">
        <v>575</v>
      </c>
      <c r="E1225" s="10" t="str">
        <f>HYPERLINK("https://twitter.com/fox4617/status/1070995363803344897","1070995363803344897")</f>
        <v>1070995363803344897</v>
      </c>
      <c r="F1225" s="11" t="s">
        <v>576</v>
      </c>
      <c r="G1225" s="12"/>
      <c r="H1225" s="12"/>
      <c r="I1225" s="13">
        <v>0</v>
      </c>
      <c r="J1225" s="13">
        <v>1</v>
      </c>
      <c r="K1225" s="14" t="str">
        <f t="shared" si="207"/>
        <v>Twitter for Android</v>
      </c>
      <c r="L1225" s="13">
        <v>1179</v>
      </c>
      <c r="M1225" s="13">
        <v>1906</v>
      </c>
      <c r="N1225" s="13">
        <v>0</v>
      </c>
      <c r="O1225" s="15"/>
      <c r="P1225" s="6">
        <v>42333.629409722227</v>
      </c>
      <c r="Q1225" s="16" t="s">
        <v>1471</v>
      </c>
      <c r="R1225" s="17" t="s">
        <v>4551</v>
      </c>
      <c r="S1225" s="12"/>
      <c r="T1225" s="12"/>
      <c r="U1225" s="10" t="str">
        <f>HYPERLINK("https://pbs.twimg.com/profile_images/969865944284745728/cu4umJaD.jpg","View")</f>
        <v>View</v>
      </c>
    </row>
    <row r="1226" spans="1:21" ht="20.399999999999999">
      <c r="A1226" s="6">
        <v>43441.497187500005</v>
      </c>
      <c r="B1226" s="7" t="str">
        <f>HYPERLINK("https://twitter.com/somgranollers","@somgranollers")</f>
        <v>@somgranollers</v>
      </c>
      <c r="C1226" s="8" t="s">
        <v>4552</v>
      </c>
      <c r="D1226" s="9" t="s">
        <v>4356</v>
      </c>
      <c r="E1226" s="10" t="str">
        <f>HYPERLINK("https://twitter.com/somgranollers/status/1070995321684152320","1070995321684152320")</f>
        <v>1070995321684152320</v>
      </c>
      <c r="F1226" s="11" t="s">
        <v>4553</v>
      </c>
      <c r="G1226" s="12"/>
      <c r="H1226" s="12"/>
      <c r="I1226" s="13">
        <v>0</v>
      </c>
      <c r="J1226" s="13">
        <v>0</v>
      </c>
      <c r="K1226" s="14" t="str">
        <f>HYPERLINK("http://twitter.com","Twitter Web Client")</f>
        <v>Twitter Web Client</v>
      </c>
      <c r="L1226" s="13">
        <v>1087</v>
      </c>
      <c r="M1226" s="13">
        <v>2344</v>
      </c>
      <c r="N1226" s="13">
        <v>16</v>
      </c>
      <c r="O1226" s="15"/>
      <c r="P1226" s="6">
        <v>40586.796967592592</v>
      </c>
      <c r="Q1226" s="11" t="s">
        <v>4554</v>
      </c>
      <c r="R1226" s="17" t="s">
        <v>4555</v>
      </c>
      <c r="S1226" s="11" t="s">
        <v>4556</v>
      </c>
      <c r="T1226" s="12"/>
      <c r="U1226" s="10" t="str">
        <f>HYPERLINK("https://pbs.twimg.com/profile_images/643559465741062144/wKM6GdZI.jpg","View")</f>
        <v>View</v>
      </c>
    </row>
    <row r="1227" spans="1:21" ht="71.400000000000006">
      <c r="A1227" s="6">
        <v>43441.496793981481</v>
      </c>
      <c r="B1227" s="7" t="str">
        <f>HYPERLINK("https://twitter.com/Vicente26939173","@Vicente26939173")</f>
        <v>@Vicente26939173</v>
      </c>
      <c r="C1227" s="8" t="s">
        <v>4557</v>
      </c>
      <c r="D1227" s="9" t="s">
        <v>4558</v>
      </c>
      <c r="E1227" s="10" t="str">
        <f>HYPERLINK("https://twitter.com/Vicente26939173/status/1070995179329466368","1070995179329466368")</f>
        <v>1070995179329466368</v>
      </c>
      <c r="F1227" s="16" t="s">
        <v>4559</v>
      </c>
      <c r="G1227" s="12"/>
      <c r="H1227" s="12"/>
      <c r="I1227" s="13">
        <v>0</v>
      </c>
      <c r="J1227" s="13">
        <v>3</v>
      </c>
      <c r="K1227" s="14" t="str">
        <f>HYPERLINK("http://twitter.com/download/iphone","Twitter for iPhone")</f>
        <v>Twitter for iPhone</v>
      </c>
      <c r="L1227" s="13">
        <v>293</v>
      </c>
      <c r="M1227" s="13">
        <v>449</v>
      </c>
      <c r="N1227" s="13">
        <v>0</v>
      </c>
      <c r="O1227" s="15"/>
      <c r="P1227" s="6">
        <v>43259.858518518522</v>
      </c>
      <c r="Q1227" s="16" t="s">
        <v>4560</v>
      </c>
      <c r="R1227" s="17" t="s">
        <v>4561</v>
      </c>
      <c r="S1227" s="12"/>
      <c r="T1227" s="12"/>
      <c r="U1227" s="10" t="str">
        <f>HYPERLINK("https://pbs.twimg.com/profile_images/1005158766545948673/aorU1uNm.jpg","View")</f>
        <v>View</v>
      </c>
    </row>
    <row r="1228" spans="1:21" ht="20.399999999999999">
      <c r="A1228" s="6">
        <v>43441.496689814812</v>
      </c>
      <c r="B1228" s="7" t="str">
        <f>HYPERLINK("https://twitter.com/_SectorCero","@_SectorCero")</f>
        <v>@_SectorCero</v>
      </c>
      <c r="C1228" s="8" t="s">
        <v>4562</v>
      </c>
      <c r="D1228" s="9" t="s">
        <v>2253</v>
      </c>
      <c r="E1228" s="10" t="str">
        <f>HYPERLINK("https://twitter.com/_SectorCero/status/1070995140255342593","1070995140255342593")</f>
        <v>1070995140255342593</v>
      </c>
      <c r="F1228" s="11" t="s">
        <v>4563</v>
      </c>
      <c r="G1228" s="11" t="s">
        <v>4564</v>
      </c>
      <c r="H1228" s="12"/>
      <c r="I1228" s="13">
        <v>0</v>
      </c>
      <c r="J1228" s="13">
        <v>0</v>
      </c>
      <c r="K1228" s="14" t="str">
        <f>HYPERLINK("https://ifttt.com","IFTTT")</f>
        <v>IFTTT</v>
      </c>
      <c r="L1228" s="13">
        <v>4067</v>
      </c>
      <c r="M1228" s="13">
        <v>3233</v>
      </c>
      <c r="N1228" s="13">
        <v>50</v>
      </c>
      <c r="O1228" s="15"/>
      <c r="P1228" s="6">
        <v>40697.691875000004</v>
      </c>
      <c r="Q1228" s="16" t="s">
        <v>4566</v>
      </c>
      <c r="R1228" s="17" t="s">
        <v>4567</v>
      </c>
      <c r="S1228" s="12"/>
      <c r="T1228" s="12"/>
      <c r="U1228" s="10" t="str">
        <f>HYPERLINK("https://pbs.twimg.com/profile_images/484392145587937280/dNz3nWrO.jpeg","View")</f>
        <v>View</v>
      </c>
    </row>
    <row r="1229" spans="1:21" ht="40.799999999999997">
      <c r="A1229" s="6">
        <v>43441.495879629627</v>
      </c>
      <c r="B1229" s="7" t="str">
        <f>HYPERLINK("https://twitter.com/DelOzama","@DelOzama")</f>
        <v>@DelOzama</v>
      </c>
      <c r="C1229" s="8" t="s">
        <v>4568</v>
      </c>
      <c r="D1229" s="9" t="s">
        <v>4569</v>
      </c>
      <c r="E1229" s="10" t="str">
        <f>HYPERLINK("https://twitter.com/DelOzama/status/1070994849531338752","1070994849531338752")</f>
        <v>1070994849531338752</v>
      </c>
      <c r="F1229" s="12"/>
      <c r="G1229" s="12"/>
      <c r="H1229" s="12"/>
      <c r="I1229" s="13">
        <v>2</v>
      </c>
      <c r="J1229" s="13">
        <v>0</v>
      </c>
      <c r="K1229" s="14" t="str">
        <f t="shared" ref="K1229:K1230" si="208">HYPERLINK("http://twitter.com/download/iphone","Twitter for iPhone")</f>
        <v>Twitter for iPhone</v>
      </c>
      <c r="L1229" s="13">
        <v>26</v>
      </c>
      <c r="M1229" s="13">
        <v>67</v>
      </c>
      <c r="N1229" s="13">
        <v>0</v>
      </c>
      <c r="O1229" s="15"/>
      <c r="P1229" s="6">
        <v>41702.542824074073</v>
      </c>
      <c r="Q1229" s="16" t="s">
        <v>4570</v>
      </c>
      <c r="R1229" s="17" t="s">
        <v>4571</v>
      </c>
      <c r="S1229" s="11" t="s">
        <v>4572</v>
      </c>
      <c r="T1229" s="12"/>
      <c r="U1229" s="10" t="str">
        <f>HYPERLINK("https://pbs.twimg.com/profile_images/441009251214168064/AzXspTlv.jpeg","View")</f>
        <v>View</v>
      </c>
    </row>
    <row r="1230" spans="1:21" ht="40.799999999999997">
      <c r="A1230" s="6">
        <v>43441.495486111111</v>
      </c>
      <c r="B1230" s="7" t="str">
        <f>HYPERLINK("https://twitter.com/salvatciutadans","@salvatciutadans")</f>
        <v>@salvatciutadans</v>
      </c>
      <c r="C1230" s="8" t="s">
        <v>4573</v>
      </c>
      <c r="D1230" s="9" t="s">
        <v>4574</v>
      </c>
      <c r="E1230" s="10" t="str">
        <f>HYPERLINK("https://twitter.com/salvatciutadans/status/1070994706992168961","1070994706992168961")</f>
        <v>1070994706992168961</v>
      </c>
      <c r="F1230" s="11" t="s">
        <v>4575</v>
      </c>
      <c r="G1230" s="12"/>
      <c r="H1230" s="12"/>
      <c r="I1230" s="13">
        <v>1</v>
      </c>
      <c r="J1230" s="13">
        <v>0</v>
      </c>
      <c r="K1230" s="14" t="str">
        <f t="shared" si="208"/>
        <v>Twitter for iPhone</v>
      </c>
      <c r="L1230" s="13">
        <v>1297</v>
      </c>
      <c r="M1230" s="13">
        <v>1998</v>
      </c>
      <c r="N1230" s="13">
        <v>17</v>
      </c>
      <c r="O1230" s="15"/>
      <c r="P1230" s="6">
        <v>42248.012662037036</v>
      </c>
      <c r="Q1230" s="12"/>
      <c r="R1230" s="17" t="s">
        <v>4576</v>
      </c>
      <c r="S1230" s="12"/>
      <c r="T1230" s="12"/>
      <c r="U1230" s="10" t="str">
        <f>HYPERLINK("https://pbs.twimg.com/profile_images/1002432792372895744/e_u4E4bE.jpg","View")</f>
        <v>View</v>
      </c>
    </row>
    <row r="1231" spans="1:21" ht="40.799999999999997">
      <c r="A1231" s="6">
        <v>43441.495347222226</v>
      </c>
      <c r="B1231" s="7" t="str">
        <f>HYPERLINK("https://twitter.com/SergioParra_","@SergioParra_")</f>
        <v>@SergioParra_</v>
      </c>
      <c r="C1231" s="8" t="s">
        <v>4577</v>
      </c>
      <c r="D1231" s="9" t="s">
        <v>2253</v>
      </c>
      <c r="E1231" s="10" t="str">
        <f>HYPERLINK("https://twitter.com/SergioParra_/status/1070994656257892353","1070994656257892353")</f>
        <v>1070994656257892353</v>
      </c>
      <c r="F1231" s="11" t="s">
        <v>4578</v>
      </c>
      <c r="G1231" s="12"/>
      <c r="H1231" s="12"/>
      <c r="I1231" s="13">
        <v>0</v>
      </c>
      <c r="J1231" s="13">
        <v>0</v>
      </c>
      <c r="K1231" s="14" t="str">
        <f>HYPERLINK("https://ifttt.com","IFTTT")</f>
        <v>IFTTT</v>
      </c>
      <c r="L1231" s="13">
        <v>5689</v>
      </c>
      <c r="M1231" s="13">
        <v>1855</v>
      </c>
      <c r="N1231" s="13">
        <v>307</v>
      </c>
      <c r="O1231" s="15"/>
      <c r="P1231" s="6">
        <v>40713.737453703703</v>
      </c>
      <c r="Q1231" s="16" t="s">
        <v>85</v>
      </c>
      <c r="R1231" s="17" t="s">
        <v>4579</v>
      </c>
      <c r="S1231" s="11" t="s">
        <v>4580</v>
      </c>
      <c r="T1231" s="12"/>
      <c r="U1231" s="10" t="str">
        <f>HYPERLINK("https://pbs.twimg.com/profile_images/725934103149711360/bevBlnwZ.jpg","View")</f>
        <v>View</v>
      </c>
    </row>
    <row r="1232" spans="1:21" ht="20.399999999999999">
      <c r="A1232" s="6">
        <v>43441.494687500002</v>
      </c>
      <c r="B1232" s="7" t="str">
        <f>HYPERLINK("https://twitter.com/IInfoLinares","@IInfoLinares")</f>
        <v>@IInfoLinares</v>
      </c>
      <c r="C1232" s="20" t="s">
        <v>4581</v>
      </c>
      <c r="D1232" s="9" t="s">
        <v>4582</v>
      </c>
      <c r="E1232" s="10" t="str">
        <f>HYPERLINK("https://twitter.com/IInfoLinares/status/1070994417899708416","1070994417899708416")</f>
        <v>1070994417899708416</v>
      </c>
      <c r="F1232" s="16" t="s">
        <v>4583</v>
      </c>
      <c r="G1232" s="11" t="s">
        <v>4584</v>
      </c>
      <c r="H1232" s="12"/>
      <c r="I1232" s="13">
        <v>0</v>
      </c>
      <c r="J1232" s="13">
        <v>1</v>
      </c>
      <c r="K1232" s="14" t="str">
        <f>HYPERLINK("http://publicize.wp.com/","WordPress.com")</f>
        <v>WordPress.com</v>
      </c>
      <c r="L1232" s="13">
        <v>3505</v>
      </c>
      <c r="M1232" s="13">
        <v>686</v>
      </c>
      <c r="N1232" s="13">
        <v>25</v>
      </c>
      <c r="O1232" s="15"/>
      <c r="P1232" s="6">
        <v>40868.737199074072</v>
      </c>
      <c r="Q1232" s="16" t="s">
        <v>2342</v>
      </c>
      <c r="R1232" s="17" t="s">
        <v>4585</v>
      </c>
      <c r="S1232" s="11" t="s">
        <v>4586</v>
      </c>
      <c r="T1232" s="12"/>
      <c r="U1232" s="10" t="str">
        <f>HYPERLINK("https://pbs.twimg.com/profile_images/776932949296050176/yd0GhWO4.jpg","View")</f>
        <v>View</v>
      </c>
    </row>
    <row r="1233" spans="1:21" ht="51">
      <c r="A1233" s="6">
        <v>43441.494571759264</v>
      </c>
      <c r="B1233" s="7" t="str">
        <f>HYPERLINK("https://twitter.com/JuanJoseMateo","@JuanJoseMateo")</f>
        <v>@JuanJoseMateo</v>
      </c>
      <c r="C1233" s="8" t="s">
        <v>4587</v>
      </c>
      <c r="D1233" s="9" t="s">
        <v>4588</v>
      </c>
      <c r="E1233" s="10" t="str">
        <f>HYPERLINK("https://twitter.com/JuanJoseMateo/status/1070994375189110784","1070994375189110784")</f>
        <v>1070994375189110784</v>
      </c>
      <c r="F1233" s="11" t="s">
        <v>4589</v>
      </c>
      <c r="G1233" s="12"/>
      <c r="H1233" s="12"/>
      <c r="I1233" s="13">
        <v>0</v>
      </c>
      <c r="J1233" s="13">
        <v>0</v>
      </c>
      <c r="K1233" s="14" t="str">
        <f>HYPERLINK("http://twitter.com","Twitter Web Client")</f>
        <v>Twitter Web Client</v>
      </c>
      <c r="L1233" s="13">
        <v>3940</v>
      </c>
      <c r="M1233" s="13">
        <v>1169</v>
      </c>
      <c r="N1233" s="13">
        <v>251</v>
      </c>
      <c r="O1233" s="15"/>
      <c r="P1233" s="6">
        <v>40260.571597222224</v>
      </c>
      <c r="Q1233" s="16" t="s">
        <v>4590</v>
      </c>
      <c r="R1233" s="17" t="s">
        <v>4591</v>
      </c>
      <c r="S1233" s="11" t="s">
        <v>4592</v>
      </c>
      <c r="T1233" s="12"/>
      <c r="U1233" s="10" t="str">
        <f>HYPERLINK("https://pbs.twimg.com/profile_images/1138165845/_MG_9328bb.jpg","View")</f>
        <v>View</v>
      </c>
    </row>
    <row r="1234" spans="1:21" ht="30.6">
      <c r="A1234" s="6">
        <v>43441.494571759264</v>
      </c>
      <c r="B1234" s="7" t="str">
        <f>HYPERLINK("https://twitter.com/RTn_Viral","@RTn_Viral")</f>
        <v>@RTn_Viral</v>
      </c>
      <c r="C1234" s="8" t="s">
        <v>4593</v>
      </c>
      <c r="D1234" s="9" t="s">
        <v>4594</v>
      </c>
      <c r="E1234" s="10" t="str">
        <f>HYPERLINK("https://twitter.com/RTn_Viral/status/1070994374044106752","1070994374044106752")</f>
        <v>1070994374044106752</v>
      </c>
      <c r="F1234" s="11" t="s">
        <v>4578</v>
      </c>
      <c r="G1234" s="11" t="s">
        <v>4595</v>
      </c>
      <c r="H1234" s="12"/>
      <c r="I1234" s="13">
        <v>0</v>
      </c>
      <c r="J1234" s="13">
        <v>0</v>
      </c>
      <c r="K1234" s="14" t="str">
        <f t="shared" ref="K1234:K1235" si="209">HYPERLINK("https://ifttt.com","IFTTT")</f>
        <v>IFTTT</v>
      </c>
      <c r="L1234" s="13">
        <v>478</v>
      </c>
      <c r="M1234" s="13">
        <v>1198</v>
      </c>
      <c r="N1234" s="13">
        <v>40</v>
      </c>
      <c r="O1234" s="15"/>
      <c r="P1234" s="6">
        <v>42376.033993055556</v>
      </c>
      <c r="Q1234" s="16" t="s">
        <v>26</v>
      </c>
      <c r="R1234" s="17" t="s">
        <v>4596</v>
      </c>
      <c r="S1234" s="11" t="s">
        <v>4597</v>
      </c>
      <c r="T1234" s="12"/>
      <c r="U1234" s="10" t="str">
        <f>HYPERLINK("https://pbs.twimg.com/profile_images/906336170639896576/st0b1kbn.jpg","View")</f>
        <v>View</v>
      </c>
    </row>
    <row r="1235" spans="1:21" ht="20.399999999999999">
      <c r="A1235" s="6">
        <v>43441.493888888886</v>
      </c>
      <c r="B1235" s="7" t="str">
        <f>HYPERLINK("https://twitter.com/blogs__ES","@blogs__ES")</f>
        <v>@blogs__ES</v>
      </c>
      <c r="C1235" s="8" t="s">
        <v>4598</v>
      </c>
      <c r="D1235" s="9" t="s">
        <v>4599</v>
      </c>
      <c r="E1235" s="10" t="str">
        <f>HYPERLINK("https://twitter.com/blogs__ES/status/1070994127599349760","1070994127599349760")</f>
        <v>1070994127599349760</v>
      </c>
      <c r="F1235" s="11" t="s">
        <v>4578</v>
      </c>
      <c r="G1235" s="11" t="s">
        <v>4600</v>
      </c>
      <c r="H1235" s="12"/>
      <c r="I1235" s="13">
        <v>1</v>
      </c>
      <c r="J1235" s="13">
        <v>0</v>
      </c>
      <c r="K1235" s="14" t="str">
        <f t="shared" si="209"/>
        <v>IFTTT</v>
      </c>
      <c r="L1235" s="13">
        <v>30</v>
      </c>
      <c r="M1235" s="13">
        <v>19</v>
      </c>
      <c r="N1235" s="13">
        <v>11</v>
      </c>
      <c r="O1235" s="15"/>
      <c r="P1235" s="6">
        <v>41017.946423611109</v>
      </c>
      <c r="Q1235" s="12"/>
      <c r="R1235" s="19"/>
      <c r="S1235" s="12"/>
      <c r="T1235" s="12"/>
      <c r="U1235" s="10" t="str">
        <f>HYPERLINK("https://pbs.twimg.com/profile_images/697701027987005441/rq6B085x.jpg","View")</f>
        <v>View</v>
      </c>
    </row>
    <row r="1236" spans="1:21" ht="30.6">
      <c r="A1236" s="6">
        <v>43441.493252314816</v>
      </c>
      <c r="B1236" s="7" t="str">
        <f>HYPERLINK("https://twitter.com/TerminatorFern","@TerminatorFern")</f>
        <v>@TerminatorFern</v>
      </c>
      <c r="C1236" s="8" t="s">
        <v>4601</v>
      </c>
      <c r="D1236" s="9" t="s">
        <v>4602</v>
      </c>
      <c r="E1236" s="10" t="str">
        <f>HYPERLINK("https://twitter.com/TerminatorFern/status/1070993894098251776","1070993894098251776")</f>
        <v>1070993894098251776</v>
      </c>
      <c r="F1236" s="11" t="s">
        <v>2409</v>
      </c>
      <c r="G1236" s="11" t="s">
        <v>4603</v>
      </c>
      <c r="H1236" s="12"/>
      <c r="I1236" s="13">
        <v>0</v>
      </c>
      <c r="J1236" s="13">
        <v>0</v>
      </c>
      <c r="K1236" s="14" t="str">
        <f>HYPERLINK("https://buffer.com","Buffer")</f>
        <v>Buffer</v>
      </c>
      <c r="L1236" s="13">
        <v>728</v>
      </c>
      <c r="M1236" s="13">
        <v>2010</v>
      </c>
      <c r="N1236" s="13">
        <v>6</v>
      </c>
      <c r="O1236" s="15"/>
      <c r="P1236" s="6">
        <v>42204.513877314814</v>
      </c>
      <c r="Q1236" s="16" t="s">
        <v>4604</v>
      </c>
      <c r="R1236" s="17" t="s">
        <v>4605</v>
      </c>
      <c r="S1236" s="12"/>
      <c r="T1236" s="12"/>
      <c r="U1236" s="10" t="str">
        <f>HYPERLINK("https://pbs.twimg.com/profile_images/745303274463563777/GyIW12w_.jpg","View")</f>
        <v>View</v>
      </c>
    </row>
    <row r="1237" spans="1:21" ht="30.6">
      <c r="A1237" s="6">
        <v>43441.49319444444</v>
      </c>
      <c r="B1237" s="7" t="str">
        <f>HYPERLINK("https://twitter.com/magnet_es","@magnet_es")</f>
        <v>@magnet_es</v>
      </c>
      <c r="C1237" s="8" t="s">
        <v>2252</v>
      </c>
      <c r="D1237" s="9" t="s">
        <v>2253</v>
      </c>
      <c r="E1237" s="10" t="str">
        <f>HYPERLINK("https://twitter.com/magnet_es/status/1070993876264079362","1070993876264079362")</f>
        <v>1070993876264079362</v>
      </c>
      <c r="F1237" s="11" t="s">
        <v>2254</v>
      </c>
      <c r="G1237" s="11" t="s">
        <v>4606</v>
      </c>
      <c r="H1237" s="12"/>
      <c r="I1237" s="13">
        <v>0</v>
      </c>
      <c r="J1237" s="13">
        <v>0</v>
      </c>
      <c r="K1237" s="14" t="str">
        <f>HYPERLINK("http://www.weblogssl.com","TweetPublishedPost")</f>
        <v>TweetPublishedPost</v>
      </c>
      <c r="L1237" s="13">
        <v>25923</v>
      </c>
      <c r="M1237" s="13">
        <v>36</v>
      </c>
      <c r="N1237" s="13">
        <v>421</v>
      </c>
      <c r="O1237" s="18" t="s">
        <v>41</v>
      </c>
      <c r="P1237" s="6">
        <v>42124.466504629629</v>
      </c>
      <c r="Q1237" s="16" t="s">
        <v>2255</v>
      </c>
      <c r="R1237" s="17" t="s">
        <v>2256</v>
      </c>
      <c r="S1237" s="11" t="s">
        <v>2257</v>
      </c>
      <c r="T1237" s="12"/>
      <c r="U1237" s="10" t="str">
        <f>HYPERLINK("https://pbs.twimg.com/profile_images/776724820629327872/8oluYED0.jpg","View")</f>
        <v>View</v>
      </c>
    </row>
    <row r="1238" spans="1:21" ht="30.6">
      <c r="A1238" s="6">
        <v>43441.4921875</v>
      </c>
      <c r="B1238" s="7" t="str">
        <f>HYPERLINK("https://twitter.com/joselusbernabe","@joselusbernabe")</f>
        <v>@joselusbernabe</v>
      </c>
      <c r="C1238" s="8" t="s">
        <v>4607</v>
      </c>
      <c r="D1238" s="9" t="s">
        <v>4608</v>
      </c>
      <c r="E1238" s="10" t="str">
        <f>HYPERLINK("https://twitter.com/joselusbernabe/status/1070993509086359552","1070993509086359552")</f>
        <v>1070993509086359552</v>
      </c>
      <c r="F1238" s="12"/>
      <c r="G1238" s="12"/>
      <c r="H1238" s="12"/>
      <c r="I1238" s="13">
        <v>0</v>
      </c>
      <c r="J1238" s="13">
        <v>0</v>
      </c>
      <c r="K1238" s="14" t="str">
        <f>HYPERLINK("http://twitter.com/download/android","Twitter for Android")</f>
        <v>Twitter for Android</v>
      </c>
      <c r="L1238" s="13">
        <v>131</v>
      </c>
      <c r="M1238" s="13">
        <v>26</v>
      </c>
      <c r="N1238" s="13">
        <v>9</v>
      </c>
      <c r="O1238" s="15"/>
      <c r="P1238" s="6">
        <v>42375.666967592595</v>
      </c>
      <c r="Q1238" s="12"/>
      <c r="R1238" s="19"/>
      <c r="S1238" s="12"/>
      <c r="T1238" s="12"/>
      <c r="U1238" s="18" t="s">
        <v>67</v>
      </c>
    </row>
    <row r="1239" spans="1:21" ht="20.399999999999999">
      <c r="A1239" s="6">
        <v>43441.491979166662</v>
      </c>
      <c r="B1239" s="7" t="str">
        <f>HYPERLINK("https://twitter.com/elcuestin","@elcuestin")</f>
        <v>@elcuestin</v>
      </c>
      <c r="C1239" s="8" t="s">
        <v>4609</v>
      </c>
      <c r="D1239" s="9" t="s">
        <v>4610</v>
      </c>
      <c r="E1239" s="10" t="str">
        <f>HYPERLINK("https://twitter.com/elcuestin/status/1070993432343166977","1070993432343166977")</f>
        <v>1070993432343166977</v>
      </c>
      <c r="F1239" s="11" t="s">
        <v>4611</v>
      </c>
      <c r="G1239" s="12"/>
      <c r="H1239" s="12"/>
      <c r="I1239" s="13">
        <v>0</v>
      </c>
      <c r="J1239" s="13">
        <v>0</v>
      </c>
      <c r="K1239" s="14" t="str">
        <f>HYPERLINK("http://twitter.com","Twitter Web Client")</f>
        <v>Twitter Web Client</v>
      </c>
      <c r="L1239" s="13">
        <v>396</v>
      </c>
      <c r="M1239" s="13">
        <v>786</v>
      </c>
      <c r="N1239" s="13">
        <v>8</v>
      </c>
      <c r="O1239" s="15"/>
      <c r="P1239" s="6">
        <v>41998.559687500005</v>
      </c>
      <c r="Q1239" s="12"/>
      <c r="R1239" s="19"/>
      <c r="S1239" s="12"/>
      <c r="T1239" s="12"/>
      <c r="U1239" s="10" t="str">
        <f>HYPERLINK("https://pbs.twimg.com/profile_images/549945155512324099/0o1aVO2Q.jpeg","View")</f>
        <v>View</v>
      </c>
    </row>
    <row r="1240" spans="1:21" ht="102">
      <c r="A1240" s="6">
        <v>43441.491157407407</v>
      </c>
      <c r="B1240" s="7" t="str">
        <f>HYPERLINK("https://twitter.com/PepitaMenaMart1","@PepitaMenaMart1")</f>
        <v>@PepitaMenaMart1</v>
      </c>
      <c r="C1240" s="8" t="s">
        <v>2188</v>
      </c>
      <c r="D1240" s="9" t="s">
        <v>4612</v>
      </c>
      <c r="E1240" s="10" t="str">
        <f>HYPERLINK("https://twitter.com/PepitaMenaMart1/status/1070993137470988288","1070993137470988288")</f>
        <v>1070993137470988288</v>
      </c>
      <c r="F1240" s="11" t="s">
        <v>1489</v>
      </c>
      <c r="G1240" s="11" t="s">
        <v>1490</v>
      </c>
      <c r="H1240" s="12"/>
      <c r="I1240" s="13">
        <v>0</v>
      </c>
      <c r="J1240" s="13">
        <v>0</v>
      </c>
      <c r="K1240" s="14" t="str">
        <f>HYPERLINK("http://twitter.com/download/android","Twitter for Android")</f>
        <v>Twitter for Android</v>
      </c>
      <c r="L1240" s="13">
        <v>437</v>
      </c>
      <c r="M1240" s="13">
        <v>350</v>
      </c>
      <c r="N1240" s="13">
        <v>1</v>
      </c>
      <c r="O1240" s="15"/>
      <c r="P1240" s="6">
        <v>43124.888506944444</v>
      </c>
      <c r="Q1240" s="16" t="s">
        <v>2190</v>
      </c>
      <c r="R1240" s="17" t="s">
        <v>2191</v>
      </c>
      <c r="S1240" s="12"/>
      <c r="T1240" s="12"/>
      <c r="U1240" s="10" t="str">
        <f>HYPERLINK("https://pbs.twimg.com/profile_images/1053410905311064064/xChXdA8v.jpg","View")</f>
        <v>View</v>
      </c>
    </row>
    <row r="1241" spans="1:21" ht="40.799999999999997">
      <c r="A1241" s="6">
        <v>43441.491006944445</v>
      </c>
      <c r="B1241" s="7" t="str">
        <f>HYPERLINK("https://twitter.com/agrnineta","@agrnineta")</f>
        <v>@agrnineta</v>
      </c>
      <c r="C1241" s="8" t="s">
        <v>4613</v>
      </c>
      <c r="D1241" s="9" t="s">
        <v>3856</v>
      </c>
      <c r="E1241" s="10" t="str">
        <f>HYPERLINK("https://twitter.com/agrnineta/status/1070993082231992321","1070993082231992321")</f>
        <v>1070993082231992321</v>
      </c>
      <c r="F1241" s="11" t="s">
        <v>4614</v>
      </c>
      <c r="G1241" s="12"/>
      <c r="H1241" s="12"/>
      <c r="I1241" s="13">
        <v>0</v>
      </c>
      <c r="J1241" s="13">
        <v>0</v>
      </c>
      <c r="K1241" s="14" t="str">
        <f>HYPERLINK("http://twitter.com","Twitter Web Client")</f>
        <v>Twitter Web Client</v>
      </c>
      <c r="L1241" s="13">
        <v>801</v>
      </c>
      <c r="M1241" s="13">
        <v>1829</v>
      </c>
      <c r="N1241" s="13">
        <v>27</v>
      </c>
      <c r="O1241" s="15"/>
      <c r="P1241" s="6">
        <v>40109.915231481486</v>
      </c>
      <c r="Q1241" s="12"/>
      <c r="R1241" s="17" t="s">
        <v>4615</v>
      </c>
      <c r="S1241" s="11" t="s">
        <v>4616</v>
      </c>
      <c r="T1241" s="12"/>
      <c r="U1241" s="10" t="str">
        <f>HYPERLINK("https://pbs.twimg.com/profile_images/855874546439684097/VYpF_Syb.jpg","View")</f>
        <v>View</v>
      </c>
    </row>
    <row r="1242" spans="1:21" ht="30.6">
      <c r="A1242" s="6">
        <v>43441.48951388889</v>
      </c>
      <c r="B1242" s="7" t="str">
        <f>HYPERLINK("https://twitter.com/yolandacmorin","@yolandacmorin")</f>
        <v>@yolandacmorin</v>
      </c>
      <c r="C1242" s="8" t="s">
        <v>3788</v>
      </c>
      <c r="D1242" s="9" t="s">
        <v>4617</v>
      </c>
      <c r="E1242" s="10" t="str">
        <f>HYPERLINK("https://twitter.com/yolandacmorin/status/1070992542571864065","1070992542571864065")</f>
        <v>1070992542571864065</v>
      </c>
      <c r="F1242" s="12"/>
      <c r="G1242" s="11" t="s">
        <v>3922</v>
      </c>
      <c r="H1242" s="12"/>
      <c r="I1242" s="13">
        <v>101</v>
      </c>
      <c r="J1242" s="13">
        <v>162</v>
      </c>
      <c r="K1242" s="14" t="str">
        <f>HYPERLINK("http://twitter.com/download/android","Twitter for Android")</f>
        <v>Twitter for Android</v>
      </c>
      <c r="L1242" s="13">
        <v>38551</v>
      </c>
      <c r="M1242" s="13">
        <v>15523</v>
      </c>
      <c r="N1242" s="13">
        <v>383</v>
      </c>
      <c r="O1242" s="18" t="s">
        <v>41</v>
      </c>
      <c r="P1242" s="6">
        <v>39876.538055555553</v>
      </c>
      <c r="Q1242" s="16" t="s">
        <v>884</v>
      </c>
      <c r="R1242" s="17" t="s">
        <v>3789</v>
      </c>
      <c r="S1242" s="11" t="s">
        <v>3790</v>
      </c>
      <c r="T1242" s="12"/>
      <c r="U1242" s="10" t="str">
        <f>HYPERLINK("https://pbs.twimg.com/profile_images/1068487211941851136/W7vOjNFJ.jpg","View")</f>
        <v>View</v>
      </c>
    </row>
    <row r="1243" spans="1:21" ht="40.799999999999997">
      <c r="A1243" s="6">
        <v>43441.489479166667</v>
      </c>
      <c r="B1243" s="7" t="str">
        <f>HYPERLINK("https://twitter.com/victor1946","@victor1946")</f>
        <v>@victor1946</v>
      </c>
      <c r="C1243" s="8" t="s">
        <v>4618</v>
      </c>
      <c r="D1243" s="9" t="s">
        <v>2164</v>
      </c>
      <c r="E1243" s="10" t="str">
        <f>HYPERLINK("https://twitter.com/victor1946/status/1070992528172859398","1070992528172859398")</f>
        <v>1070992528172859398</v>
      </c>
      <c r="F1243" s="11" t="s">
        <v>576</v>
      </c>
      <c r="G1243" s="12"/>
      <c r="H1243" s="12"/>
      <c r="I1243" s="13">
        <v>0</v>
      </c>
      <c r="J1243" s="13">
        <v>0</v>
      </c>
      <c r="K1243" s="14" t="str">
        <f>HYPERLINK("http://twitter.com","Twitter Web Client")</f>
        <v>Twitter Web Client</v>
      </c>
      <c r="L1243" s="13">
        <v>1160</v>
      </c>
      <c r="M1243" s="13">
        <v>1808</v>
      </c>
      <c r="N1243" s="13">
        <v>18</v>
      </c>
      <c r="O1243" s="15"/>
      <c r="P1243" s="6">
        <v>40026.993773148148</v>
      </c>
      <c r="Q1243" s="16" t="s">
        <v>4619</v>
      </c>
      <c r="R1243" s="17" t="s">
        <v>4620</v>
      </c>
      <c r="S1243" s="11" t="s">
        <v>4621</v>
      </c>
      <c r="T1243" s="12"/>
      <c r="U1243" s="10" t="str">
        <f>HYPERLINK("https://pbs.twimg.com/profile_images/893563128851640324/KjspNBPM.jpg","View")</f>
        <v>View</v>
      </c>
    </row>
    <row r="1244" spans="1:21" ht="91.8">
      <c r="A1244" s="6">
        <v>43441.488437499997</v>
      </c>
      <c r="B1244" s="7" t="str">
        <f>HYPERLINK("https://twitter.com/PepitaMenaMart1","@PepitaMenaMart1")</f>
        <v>@PepitaMenaMart1</v>
      </c>
      <c r="C1244" s="8" t="s">
        <v>2188</v>
      </c>
      <c r="D1244" s="9" t="s">
        <v>4622</v>
      </c>
      <c r="E1244" s="10" t="str">
        <f>HYPERLINK("https://twitter.com/PepitaMenaMart1/status/1070992150794510336","1070992150794510336")</f>
        <v>1070992150794510336</v>
      </c>
      <c r="F1244" s="16" t="s">
        <v>4623</v>
      </c>
      <c r="G1244" s="11" t="s">
        <v>4624</v>
      </c>
      <c r="H1244" s="12"/>
      <c r="I1244" s="13">
        <v>1</v>
      </c>
      <c r="J1244" s="13">
        <v>2</v>
      </c>
      <c r="K1244" s="14" t="str">
        <f>HYPERLINK("http://twitter.com/download/android","Twitter for Android")</f>
        <v>Twitter for Android</v>
      </c>
      <c r="L1244" s="13">
        <v>437</v>
      </c>
      <c r="M1244" s="13">
        <v>350</v>
      </c>
      <c r="N1244" s="13">
        <v>1</v>
      </c>
      <c r="O1244" s="15"/>
      <c r="P1244" s="6">
        <v>43124.888506944444</v>
      </c>
      <c r="Q1244" s="16" t="s">
        <v>2190</v>
      </c>
      <c r="R1244" s="17" t="s">
        <v>2191</v>
      </c>
      <c r="S1244" s="12"/>
      <c r="T1244" s="12"/>
      <c r="U1244" s="10" t="str">
        <f>HYPERLINK("https://pbs.twimg.com/profile_images/1053410905311064064/xChXdA8v.jpg","View")</f>
        <v>View</v>
      </c>
    </row>
    <row r="1245" spans="1:21" ht="40.799999999999997">
      <c r="A1245" s="6">
        <v>43441.488252314812</v>
      </c>
      <c r="B1245" s="7" t="str">
        <f>HYPERLINK("https://twitter.com/llerices","@llerices")</f>
        <v>@llerices</v>
      </c>
      <c r="C1245" s="8" t="s">
        <v>1959</v>
      </c>
      <c r="D1245" s="9" t="s">
        <v>1960</v>
      </c>
      <c r="E1245" s="10" t="str">
        <f>HYPERLINK("https://twitter.com/llerices/status/1070992084214124544","1070992084214124544")</f>
        <v>1070992084214124544</v>
      </c>
      <c r="F1245" s="11" t="s">
        <v>4625</v>
      </c>
      <c r="G1245" s="12"/>
      <c r="H1245" s="12"/>
      <c r="I1245" s="13">
        <v>0</v>
      </c>
      <c r="J1245" s="13">
        <v>0</v>
      </c>
      <c r="K1245" s="14" t="str">
        <f t="shared" ref="K1245:K1246" si="210">HYPERLINK("http://twitter.com","Twitter Web Client")</f>
        <v>Twitter Web Client</v>
      </c>
      <c r="L1245" s="13">
        <v>647</v>
      </c>
      <c r="M1245" s="13">
        <v>685</v>
      </c>
      <c r="N1245" s="13">
        <v>12</v>
      </c>
      <c r="O1245" s="15"/>
      <c r="P1245" s="6">
        <v>40444.951342592591</v>
      </c>
      <c r="Q1245" s="16" t="s">
        <v>1962</v>
      </c>
      <c r="R1245" s="17" t="s">
        <v>1963</v>
      </c>
      <c r="S1245" s="12"/>
      <c r="T1245" s="12"/>
      <c r="U1245" s="10" t="str">
        <f>HYPERLINK("https://pbs.twimg.com/profile_images/670899507400482816/kPZQ71Og.jpg","View")</f>
        <v>View</v>
      </c>
    </row>
    <row r="1246" spans="1:21" ht="20.399999999999999">
      <c r="A1246" s="6">
        <v>43441.487349537041</v>
      </c>
      <c r="B1246" s="7" t="str">
        <f>HYPERLINK("https://twitter.com/charly7330","@charly7330")</f>
        <v>@charly7330</v>
      </c>
      <c r="C1246" s="8" t="s">
        <v>4626</v>
      </c>
      <c r="D1246" s="9" t="s">
        <v>4627</v>
      </c>
      <c r="E1246" s="10" t="str">
        <f>HYPERLINK("https://twitter.com/charly7330/status/1070991756471214080","1070991756471214080")</f>
        <v>1070991756471214080</v>
      </c>
      <c r="F1246" s="11" t="s">
        <v>4628</v>
      </c>
      <c r="G1246" s="12"/>
      <c r="H1246" s="12"/>
      <c r="I1246" s="13">
        <v>0</v>
      </c>
      <c r="J1246" s="13">
        <v>0</v>
      </c>
      <c r="K1246" s="14" t="str">
        <f t="shared" si="210"/>
        <v>Twitter Web Client</v>
      </c>
      <c r="L1246" s="13">
        <v>186</v>
      </c>
      <c r="M1246" s="13">
        <v>179</v>
      </c>
      <c r="N1246" s="13">
        <v>0</v>
      </c>
      <c r="O1246" s="15"/>
      <c r="P1246" s="6">
        <v>41704.724293981482</v>
      </c>
      <c r="Q1246" s="16" t="s">
        <v>4629</v>
      </c>
      <c r="R1246" s="19"/>
      <c r="S1246" s="12"/>
      <c r="T1246" s="12"/>
      <c r="U1246" s="10" t="str">
        <f>HYPERLINK("https://pbs.twimg.com/profile_images/1047882917777723392/RJVFn6T1.jpg","View")</f>
        <v>View</v>
      </c>
    </row>
    <row r="1247" spans="1:21" ht="20.399999999999999">
      <c r="A1247" s="6">
        <v>43441.48642361111</v>
      </c>
      <c r="B1247" s="7" t="str">
        <f>HYPERLINK("https://twitter.com/daniel_nieve","@daniel_nieve")</f>
        <v>@daniel_nieve</v>
      </c>
      <c r="C1247" s="8" t="s">
        <v>4630</v>
      </c>
      <c r="D1247" s="9" t="s">
        <v>4631</v>
      </c>
      <c r="E1247" s="10" t="str">
        <f>HYPERLINK("https://twitter.com/daniel_nieve/status/1070991420532637697","1070991420532637697")</f>
        <v>1070991420532637697</v>
      </c>
      <c r="F1247" s="11" t="s">
        <v>4632</v>
      </c>
      <c r="G1247" s="12"/>
      <c r="H1247" s="12"/>
      <c r="I1247" s="13">
        <v>0</v>
      </c>
      <c r="J1247" s="13">
        <v>0</v>
      </c>
      <c r="K1247" s="14" t="str">
        <f>HYPERLINK("http://twitter.com/#!/download/ipad","Twitter for iPad")</f>
        <v>Twitter for iPad</v>
      </c>
      <c r="L1247" s="13">
        <v>881</v>
      </c>
      <c r="M1247" s="13">
        <v>2409</v>
      </c>
      <c r="N1247" s="13">
        <v>20</v>
      </c>
      <c r="O1247" s="15"/>
      <c r="P1247" s="6">
        <v>41188.613229166665</v>
      </c>
      <c r="Q1247" s="12"/>
      <c r="R1247" s="19"/>
      <c r="S1247" s="12"/>
      <c r="T1247" s="12"/>
      <c r="U1247" s="10" t="str">
        <f>HYPERLINK("https://pbs.twimg.com/profile_images/3410753818/0c5b06f69665939552234036c2c75935.jpeg","View")</f>
        <v>View</v>
      </c>
    </row>
    <row r="1248" spans="1:21" ht="51">
      <c r="A1248" s="6">
        <v>43441.484467592592</v>
      </c>
      <c r="B1248" s="7" t="str">
        <f>HYPERLINK("https://twitter.com/mmmbango","@mmmbango")</f>
        <v>@mmmbango</v>
      </c>
      <c r="C1248" s="8" t="s">
        <v>921</v>
      </c>
      <c r="D1248" s="9" t="s">
        <v>4633</v>
      </c>
      <c r="E1248" s="10" t="str">
        <f>HYPERLINK("https://twitter.com/mmmbango/status/1070990712869699584","1070990712869699584")</f>
        <v>1070990712869699584</v>
      </c>
      <c r="F1248" s="11" t="s">
        <v>4634</v>
      </c>
      <c r="G1248" s="12"/>
      <c r="H1248" s="12"/>
      <c r="I1248" s="13">
        <v>0</v>
      </c>
      <c r="J1248" s="13">
        <v>0</v>
      </c>
      <c r="K1248" s="14" t="str">
        <f t="shared" ref="K1248:K1249" si="211">HYPERLINK("http://twitter.com/download/android","Twitter for Android")</f>
        <v>Twitter for Android</v>
      </c>
      <c r="L1248" s="13">
        <v>6691</v>
      </c>
      <c r="M1248" s="13">
        <v>4488</v>
      </c>
      <c r="N1248" s="13">
        <v>69</v>
      </c>
      <c r="O1248" s="15"/>
      <c r="P1248" s="6">
        <v>41521.720983796295</v>
      </c>
      <c r="Q1248" s="16" t="s">
        <v>924</v>
      </c>
      <c r="R1248" s="17" t="s">
        <v>925</v>
      </c>
      <c r="S1248" s="11" t="s">
        <v>926</v>
      </c>
      <c r="T1248" s="12"/>
      <c r="U1248" s="10" t="str">
        <f>HYPERLINK("https://pbs.twimg.com/profile_images/855523465796964352/PuP44M-h.jpg","View")</f>
        <v>View</v>
      </c>
    </row>
    <row r="1249" spans="1:21" ht="40.799999999999997">
      <c r="A1249" s="6">
        <v>43441.484085648146</v>
      </c>
      <c r="B1249" s="7" t="str">
        <f>HYPERLINK("https://twitter.com/CrisRomate","@CrisRomate")</f>
        <v>@CrisRomate</v>
      </c>
      <c r="C1249" s="8" t="s">
        <v>4635</v>
      </c>
      <c r="D1249" s="9" t="s">
        <v>4636</v>
      </c>
      <c r="E1249" s="10" t="str">
        <f>HYPERLINK("https://twitter.com/CrisRomate/status/1070990575493619712","1070990575493619712")</f>
        <v>1070990575493619712</v>
      </c>
      <c r="F1249" s="12"/>
      <c r="G1249" s="12"/>
      <c r="H1249" s="12"/>
      <c r="I1249" s="13">
        <v>0</v>
      </c>
      <c r="J1249" s="13">
        <v>0</v>
      </c>
      <c r="K1249" s="14" t="str">
        <f t="shared" si="211"/>
        <v>Twitter for Android</v>
      </c>
      <c r="L1249" s="13">
        <v>22</v>
      </c>
      <c r="M1249" s="13">
        <v>89</v>
      </c>
      <c r="N1249" s="13">
        <v>0</v>
      </c>
      <c r="O1249" s="15"/>
      <c r="P1249" s="6">
        <v>41367.813425925924</v>
      </c>
      <c r="Q1249" s="12"/>
      <c r="R1249" s="19"/>
      <c r="S1249" s="12"/>
      <c r="T1249" s="12"/>
      <c r="U1249" s="10" t="str">
        <f>HYPERLINK("https://pbs.twimg.com/profile_images/888399692295536641/YJG0BBsx.jpg","View")</f>
        <v>View</v>
      </c>
    </row>
    <row r="1250" spans="1:21" ht="51">
      <c r="A1250" s="6">
        <v>43441.483923611115</v>
      </c>
      <c r="B1250" s="7" t="str">
        <f>HYPERLINK("https://twitter.com/NBAMaria38","@NBAMaria38")</f>
        <v>@NBAMaria38</v>
      </c>
      <c r="C1250" s="8" t="s">
        <v>4637</v>
      </c>
      <c r="D1250" s="9" t="s">
        <v>4638</v>
      </c>
      <c r="E1250" s="10" t="str">
        <f>HYPERLINK("https://twitter.com/NBAMaria38/status/1070990515489988614","1070990515489988614")</f>
        <v>1070990515489988614</v>
      </c>
      <c r="F1250" s="11" t="s">
        <v>4639</v>
      </c>
      <c r="G1250" s="12"/>
      <c r="H1250" s="12"/>
      <c r="I1250" s="13">
        <v>38</v>
      </c>
      <c r="J1250" s="13">
        <v>40</v>
      </c>
      <c r="K1250" s="14" t="str">
        <f>HYPERLINK("http://twitter.com/download/iphone","Twitter for iPhone")</f>
        <v>Twitter for iPhone</v>
      </c>
      <c r="L1250" s="13">
        <v>4407</v>
      </c>
      <c r="M1250" s="13">
        <v>3350</v>
      </c>
      <c r="N1250" s="13">
        <v>57</v>
      </c>
      <c r="O1250" s="15"/>
      <c r="P1250" s="6">
        <v>41678.637395833335</v>
      </c>
      <c r="Q1250" s="16" t="s">
        <v>4640</v>
      </c>
      <c r="R1250" s="17" t="s">
        <v>4641</v>
      </c>
      <c r="S1250" s="12"/>
      <c r="T1250" s="12"/>
      <c r="U1250" s="10" t="str">
        <f>HYPERLINK("https://pbs.twimg.com/profile_images/1069525953536290817/CCg8z3mh.jpg","View")</f>
        <v>View</v>
      </c>
    </row>
    <row r="1251" spans="1:21" ht="40.799999999999997">
      <c r="A1251" s="6">
        <v>43441.483877314815</v>
      </c>
      <c r="B1251" s="7" t="str">
        <f>HYPERLINK("https://twitter.com/r_elorrieta","@r_elorrieta")</f>
        <v>@r_elorrieta</v>
      </c>
      <c r="C1251" s="8" t="s">
        <v>4642</v>
      </c>
      <c r="D1251" s="9" t="s">
        <v>1842</v>
      </c>
      <c r="E1251" s="10" t="str">
        <f>HYPERLINK("https://twitter.com/r_elorrieta/status/1070990497454403586","1070990497454403586")</f>
        <v>1070990497454403586</v>
      </c>
      <c r="F1251" s="11" t="s">
        <v>4643</v>
      </c>
      <c r="G1251" s="12"/>
      <c r="H1251" s="12"/>
      <c r="I1251" s="13">
        <v>1</v>
      </c>
      <c r="J1251" s="13">
        <v>0</v>
      </c>
      <c r="K1251" s="14" t="str">
        <f>HYPERLINK("http://twitter.com","Twitter Web Client")</f>
        <v>Twitter Web Client</v>
      </c>
      <c r="L1251" s="13">
        <v>101</v>
      </c>
      <c r="M1251" s="13">
        <v>247</v>
      </c>
      <c r="N1251" s="13">
        <v>0</v>
      </c>
      <c r="O1251" s="15"/>
      <c r="P1251" s="6">
        <v>42722.452326388884</v>
      </c>
      <c r="Q1251" s="12"/>
      <c r="R1251" s="17" t="s">
        <v>4644</v>
      </c>
      <c r="S1251" s="12"/>
      <c r="T1251" s="12"/>
      <c r="U1251" s="10" t="str">
        <f>HYPERLINK("https://pbs.twimg.com/profile_images/919129654816100352/oYO7LaBw.jpg","View")</f>
        <v>View</v>
      </c>
    </row>
    <row r="1252" spans="1:21" ht="20.399999999999999">
      <c r="A1252" s="6">
        <v>43441.483634259261</v>
      </c>
      <c r="B1252" s="7" t="str">
        <f>HYPERLINK("https://twitter.com/qqqqetru","@qqqqetru")</f>
        <v>@qqqqetru</v>
      </c>
      <c r="C1252" s="8" t="s">
        <v>4545</v>
      </c>
      <c r="D1252" s="9" t="s">
        <v>4645</v>
      </c>
      <c r="E1252" s="10" t="str">
        <f>HYPERLINK("https://twitter.com/qqqqetru/status/1070990409856376832","1070990409856376832")</f>
        <v>1070990409856376832</v>
      </c>
      <c r="F1252" s="11" t="s">
        <v>2242</v>
      </c>
      <c r="G1252" s="12"/>
      <c r="H1252" s="12"/>
      <c r="I1252" s="13">
        <v>0</v>
      </c>
      <c r="J1252" s="13">
        <v>0</v>
      </c>
      <c r="K1252" s="14" t="str">
        <f>HYPERLINK("http://twitter.com/download/android","Twitter for Android")</f>
        <v>Twitter for Android</v>
      </c>
      <c r="L1252" s="13">
        <v>649</v>
      </c>
      <c r="M1252" s="13">
        <v>1194</v>
      </c>
      <c r="N1252" s="13">
        <v>2</v>
      </c>
      <c r="O1252" s="15"/>
      <c r="P1252" s="6">
        <v>40749.437719907408</v>
      </c>
      <c r="Q1252" s="12"/>
      <c r="R1252" s="19"/>
      <c r="S1252" s="12"/>
      <c r="T1252" s="12"/>
      <c r="U1252" s="10" t="str">
        <f>HYPERLINK("https://pbs.twimg.com/profile_images/1069734331780870144/d_KYpBFy.jpg","View")</f>
        <v>View</v>
      </c>
    </row>
    <row r="1253" spans="1:21" ht="30.6">
      <c r="A1253" s="6">
        <v>43441.482835648145</v>
      </c>
      <c r="B1253" s="7" t="str">
        <f>HYPERLINK("https://twitter.com/COPE","@COPE")</f>
        <v>@COPE</v>
      </c>
      <c r="C1253" s="8" t="s">
        <v>551</v>
      </c>
      <c r="D1253" s="9" t="s">
        <v>4646</v>
      </c>
      <c r="E1253" s="10" t="str">
        <f>HYPERLINK("https://twitter.com/COPE/status/1070990119887364096","1070990119887364096")</f>
        <v>1070990119887364096</v>
      </c>
      <c r="F1253" s="11" t="s">
        <v>4647</v>
      </c>
      <c r="G1253" s="12"/>
      <c r="H1253" s="12"/>
      <c r="I1253" s="13">
        <v>288</v>
      </c>
      <c r="J1253" s="13">
        <v>584</v>
      </c>
      <c r="K1253" s="14" t="str">
        <f>HYPERLINK("http://dogtrack.es","DogTrack_Oficial")</f>
        <v>DogTrack_Oficial</v>
      </c>
      <c r="L1253" s="13">
        <v>354194</v>
      </c>
      <c r="M1253" s="13">
        <v>150</v>
      </c>
      <c r="N1253" s="13">
        <v>3095</v>
      </c>
      <c r="O1253" s="18" t="s">
        <v>41</v>
      </c>
      <c r="P1253" s="6">
        <v>39381.538321759261</v>
      </c>
      <c r="Q1253" s="16" t="s">
        <v>26</v>
      </c>
      <c r="R1253" s="17" t="s">
        <v>552</v>
      </c>
      <c r="S1253" s="11" t="s">
        <v>553</v>
      </c>
      <c r="T1253" s="12"/>
      <c r="U1253" s="10" t="str">
        <f>HYPERLINK("https://pbs.twimg.com/profile_images/1063097716031533059/yAe1j-56.jpg","View")</f>
        <v>View</v>
      </c>
    </row>
    <row r="1254" spans="1:21" ht="30.6">
      <c r="A1254" s="6">
        <v>43441.482789351852</v>
      </c>
      <c r="B1254" s="7" t="str">
        <f>HYPERLINK("https://twitter.com/jaestevezprado1","@jaestevezprado1")</f>
        <v>@jaestevezprado1</v>
      </c>
      <c r="C1254" s="8" t="s">
        <v>4648</v>
      </c>
      <c r="D1254" s="9" t="s">
        <v>4318</v>
      </c>
      <c r="E1254" s="10" t="str">
        <f>HYPERLINK("https://twitter.com/jaestevezprado1/status/1070990105177927680","1070990105177927680")</f>
        <v>1070990105177927680</v>
      </c>
      <c r="F1254" s="11" t="s">
        <v>246</v>
      </c>
      <c r="G1254" s="12"/>
      <c r="H1254" s="12"/>
      <c r="I1254" s="13">
        <v>0</v>
      </c>
      <c r="J1254" s="13">
        <v>0</v>
      </c>
      <c r="K1254" s="14" t="str">
        <f>HYPERLINK("http://twitter.com/download/android","Twitter for Android")</f>
        <v>Twitter for Android</v>
      </c>
      <c r="L1254" s="13">
        <v>647</v>
      </c>
      <c r="M1254" s="13">
        <v>711</v>
      </c>
      <c r="N1254" s="13">
        <v>26</v>
      </c>
      <c r="O1254" s="15"/>
      <c r="P1254" s="6">
        <v>42174.419918981483</v>
      </c>
      <c r="Q1254" s="12"/>
      <c r="R1254" s="17" t="s">
        <v>4649</v>
      </c>
      <c r="S1254" s="12"/>
      <c r="T1254" s="12"/>
      <c r="U1254" s="10" t="str">
        <f>HYPERLINK("https://pbs.twimg.com/profile_images/975427283874918400/2YuLw078.jpg","View")</f>
        <v>View</v>
      </c>
    </row>
    <row r="1255" spans="1:21" ht="30.6">
      <c r="A1255" s="6">
        <v>43441.481759259259</v>
      </c>
      <c r="B1255" s="7" t="str">
        <f>HYPERLINK("https://twitter.com/ppdecanarias","@ppdecanarias")</f>
        <v>@ppdecanarias</v>
      </c>
      <c r="C1255" s="8" t="s">
        <v>4650</v>
      </c>
      <c r="D1255" s="9" t="s">
        <v>4651</v>
      </c>
      <c r="E1255" s="10" t="str">
        <f>HYPERLINK("https://twitter.com/ppdecanarias/status/1070989731184472064","1070989731184472064")</f>
        <v>1070989731184472064</v>
      </c>
      <c r="F1255" s="11" t="s">
        <v>4652</v>
      </c>
      <c r="G1255" s="12"/>
      <c r="H1255" s="12"/>
      <c r="I1255" s="13">
        <v>12</v>
      </c>
      <c r="J1255" s="13">
        <v>13</v>
      </c>
      <c r="K1255" s="14" t="str">
        <f>HYPERLINK("http://twitter.com/download/iphone","Twitter for iPhone")</f>
        <v>Twitter for iPhone</v>
      </c>
      <c r="L1255" s="13">
        <v>5151</v>
      </c>
      <c r="M1255" s="13">
        <v>675</v>
      </c>
      <c r="N1255" s="13">
        <v>118</v>
      </c>
      <c r="O1255" s="18" t="s">
        <v>41</v>
      </c>
      <c r="P1255" s="6">
        <v>40592.03460648148</v>
      </c>
      <c r="Q1255" s="16" t="s">
        <v>4653</v>
      </c>
      <c r="R1255" s="17" t="s">
        <v>4654</v>
      </c>
      <c r="S1255" s="11" t="s">
        <v>4655</v>
      </c>
      <c r="T1255" s="12"/>
      <c r="U1255" s="10" t="str">
        <f>HYPERLINK("https://pbs.twimg.com/profile_images/1053414775772905474/HJInCymW.jpg","View")</f>
        <v>View</v>
      </c>
    </row>
    <row r="1256" spans="1:21" ht="81.599999999999994">
      <c r="A1256" s="6">
        <v>43441.481689814813</v>
      </c>
      <c r="B1256" s="7" t="str">
        <f>HYPERLINK("https://twitter.com/Holmes_Beatriz","@Holmes_Beatriz")</f>
        <v>@Holmes_Beatriz</v>
      </c>
      <c r="C1256" s="8" t="s">
        <v>4656</v>
      </c>
      <c r="D1256" s="9" t="s">
        <v>4657</v>
      </c>
      <c r="E1256" s="10" t="str">
        <f>HYPERLINK("https://twitter.com/Holmes_Beatriz/status/1070989707679551489","1070989707679551489")</f>
        <v>1070989707679551489</v>
      </c>
      <c r="F1256" s="16" t="s">
        <v>4658</v>
      </c>
      <c r="G1256" s="11" t="s">
        <v>4659</v>
      </c>
      <c r="H1256" s="12"/>
      <c r="I1256" s="13">
        <v>0</v>
      </c>
      <c r="J1256" s="13">
        <v>0</v>
      </c>
      <c r="K1256" s="14" t="str">
        <f>HYPERLINK("http://twitter.com/download/android","Twitter for Android")</f>
        <v>Twitter for Android</v>
      </c>
      <c r="L1256" s="13">
        <v>532</v>
      </c>
      <c r="M1256" s="13">
        <v>916</v>
      </c>
      <c r="N1256" s="13">
        <v>7</v>
      </c>
      <c r="O1256" s="15"/>
      <c r="P1256" s="6">
        <v>40919.510150462964</v>
      </c>
      <c r="Q1256" s="16" t="s">
        <v>1747</v>
      </c>
      <c r="R1256" s="17" t="s">
        <v>4660</v>
      </c>
      <c r="S1256" s="12"/>
      <c r="T1256" s="12"/>
      <c r="U1256" s="10" t="str">
        <f>HYPERLINK("https://pbs.twimg.com/profile_images/1747744356/Holmes.jpg","View")</f>
        <v>View</v>
      </c>
    </row>
    <row r="1257" spans="1:21" ht="13.2">
      <c r="A1257" s="6">
        <v>43441.480798611112</v>
      </c>
      <c r="B1257" s="7" t="str">
        <f>HYPERLINK("https://twitter.com/Newsss15","@Newsss15")</f>
        <v>@Newsss15</v>
      </c>
      <c r="C1257" s="8" t="s">
        <v>4661</v>
      </c>
      <c r="D1257" s="9" t="s">
        <v>4662</v>
      </c>
      <c r="E1257" s="10" t="str">
        <f>HYPERLINK("https://twitter.com/Newsss15/status/1070989384588124160","1070989384588124160")</f>
        <v>1070989384588124160</v>
      </c>
      <c r="F1257" s="11" t="s">
        <v>2089</v>
      </c>
      <c r="G1257" s="12"/>
      <c r="H1257" s="12"/>
      <c r="I1257" s="13">
        <v>0</v>
      </c>
      <c r="J1257" s="13">
        <v>0</v>
      </c>
      <c r="K1257" s="14" t="str">
        <f>HYPERLINK("http://twitter.com","Twitter Web Client")</f>
        <v>Twitter Web Client</v>
      </c>
      <c r="L1257" s="13">
        <v>42</v>
      </c>
      <c r="M1257" s="13">
        <v>136</v>
      </c>
      <c r="N1257" s="13">
        <v>1</v>
      </c>
      <c r="O1257" s="15"/>
      <c r="P1257" s="6">
        <v>42190.730833333335</v>
      </c>
      <c r="Q1257" s="16" t="s">
        <v>4663</v>
      </c>
      <c r="R1257" s="17" t="s">
        <v>4664</v>
      </c>
      <c r="S1257" s="12"/>
      <c r="T1257" s="12"/>
      <c r="U1257" s="10" t="str">
        <f>HYPERLINK("https://pbs.twimg.com/profile_images/996287009651126272/VMKrAS2M.jpg","View")</f>
        <v>View</v>
      </c>
    </row>
    <row r="1258" spans="1:21" ht="112.2">
      <c r="A1258" s="6">
        <v>43441.480497685188</v>
      </c>
      <c r="B1258" s="7" t="str">
        <f>HYPERLINK("https://twitter.com/FG72373327","@FG72373327")</f>
        <v>@FG72373327</v>
      </c>
      <c r="C1258" s="8" t="s">
        <v>3404</v>
      </c>
      <c r="D1258" s="9" t="s">
        <v>4665</v>
      </c>
      <c r="E1258" s="10" t="str">
        <f>HYPERLINK("https://twitter.com/FG72373327/status/1070989273552187392","1070989273552187392")</f>
        <v>1070989273552187392</v>
      </c>
      <c r="F1258" s="11" t="s">
        <v>4666</v>
      </c>
      <c r="G1258" s="11" t="s">
        <v>4667</v>
      </c>
      <c r="H1258" s="12"/>
      <c r="I1258" s="13">
        <v>1</v>
      </c>
      <c r="J1258" s="13">
        <v>1</v>
      </c>
      <c r="K1258" s="14" t="str">
        <f>HYPERLINK("http://twitter.com/download/iphone","Twitter for iPhone")</f>
        <v>Twitter for iPhone</v>
      </c>
      <c r="L1258" s="13">
        <v>888</v>
      </c>
      <c r="M1258" s="13">
        <v>926</v>
      </c>
      <c r="N1258" s="13">
        <v>6</v>
      </c>
      <c r="O1258" s="15"/>
      <c r="P1258" s="6">
        <v>42977.396006944444</v>
      </c>
      <c r="Q1258" s="16" t="s">
        <v>26</v>
      </c>
      <c r="R1258" s="19"/>
      <c r="S1258" s="12"/>
      <c r="T1258" s="12"/>
      <c r="U1258" s="10" t="str">
        <f>HYPERLINK("https://pbs.twimg.com/profile_images/902802729009111040/RUuGyEn7.jpg","View")</f>
        <v>View</v>
      </c>
    </row>
    <row r="1259" spans="1:21" ht="20.399999999999999">
      <c r="A1259" s="6">
        <v>43441.480439814812</v>
      </c>
      <c r="B1259" s="7" t="str">
        <f>HYPERLINK("https://twitter.com/garciatornell","@garciatornell")</f>
        <v>@garciatornell</v>
      </c>
      <c r="C1259" s="8" t="s">
        <v>1447</v>
      </c>
      <c r="D1259" s="9" t="s">
        <v>4398</v>
      </c>
      <c r="E1259" s="10" t="str">
        <f>HYPERLINK("https://twitter.com/garciatornell/status/1070989251540598784","1070989251540598784")</f>
        <v>1070989251540598784</v>
      </c>
      <c r="F1259" s="11" t="s">
        <v>3266</v>
      </c>
      <c r="G1259" s="12"/>
      <c r="H1259" s="12"/>
      <c r="I1259" s="13">
        <v>0</v>
      </c>
      <c r="J1259" s="13">
        <v>0</v>
      </c>
      <c r="K1259" s="14" t="str">
        <f>HYPERLINK("http://twitter.com","Twitter Web Client")</f>
        <v>Twitter Web Client</v>
      </c>
      <c r="L1259" s="13">
        <v>315</v>
      </c>
      <c r="M1259" s="13">
        <v>456</v>
      </c>
      <c r="N1259" s="13">
        <v>11</v>
      </c>
      <c r="O1259" s="15"/>
      <c r="P1259" s="6">
        <v>41620.609317129631</v>
      </c>
      <c r="Q1259" s="16" t="s">
        <v>1450</v>
      </c>
      <c r="R1259" s="17" t="s">
        <v>1451</v>
      </c>
      <c r="S1259" s="12"/>
      <c r="T1259" s="12"/>
      <c r="U1259" s="10" t="str">
        <f>HYPERLINK("https://pbs.twimg.com/profile_images/378800000863588192/YCtcJ-ZE.jpeg","View")</f>
        <v>View</v>
      </c>
    </row>
    <row r="1260" spans="1:21" ht="51">
      <c r="A1260" s="6">
        <v>43441.4769212963</v>
      </c>
      <c r="B1260" s="7" t="str">
        <f>HYPERLINK("https://twitter.com/JuanIgnaMedina","@JuanIgnaMedina")</f>
        <v>@JuanIgnaMedina</v>
      </c>
      <c r="C1260" s="8" t="s">
        <v>4668</v>
      </c>
      <c r="D1260" s="9" t="s">
        <v>4669</v>
      </c>
      <c r="E1260" s="10" t="str">
        <f>HYPERLINK("https://twitter.com/JuanIgnaMedina/status/1070987977617276929","1070987977617276929")</f>
        <v>1070987977617276929</v>
      </c>
      <c r="F1260" s="11" t="s">
        <v>4670</v>
      </c>
      <c r="G1260" s="12"/>
      <c r="H1260" s="12"/>
      <c r="I1260" s="13">
        <v>2</v>
      </c>
      <c r="J1260" s="13">
        <v>1</v>
      </c>
      <c r="K1260" s="14" t="str">
        <f>HYPERLINK("http://twitter.com/download/android","Twitter for Android")</f>
        <v>Twitter for Android</v>
      </c>
      <c r="L1260" s="13">
        <v>1336</v>
      </c>
      <c r="M1260" s="13">
        <v>939</v>
      </c>
      <c r="N1260" s="13">
        <v>29</v>
      </c>
      <c r="O1260" s="15"/>
      <c r="P1260" s="6">
        <v>40634.799201388887</v>
      </c>
      <c r="Q1260" s="16" t="s">
        <v>4671</v>
      </c>
      <c r="R1260" s="17" t="s">
        <v>4672</v>
      </c>
      <c r="S1260" s="11" t="s">
        <v>4673</v>
      </c>
      <c r="T1260" s="12"/>
      <c r="U1260" s="10" t="str">
        <f>HYPERLINK("https://pbs.twimg.com/profile_images/1004233951601463296/_BQGGO5h.jpg","View")</f>
        <v>View</v>
      </c>
    </row>
    <row r="1261" spans="1:21" ht="51">
      <c r="A1261" s="6">
        <v>43441.476886574077</v>
      </c>
      <c r="B1261" s="7" t="str">
        <f>HYPERLINK("https://twitter.com/losfosfonautas","@losfosfonautas")</f>
        <v>@losfosfonautas</v>
      </c>
      <c r="C1261" s="8" t="s">
        <v>4674</v>
      </c>
      <c r="D1261" s="9" t="s">
        <v>4675</v>
      </c>
      <c r="E1261" s="10" t="str">
        <f>HYPERLINK("https://twitter.com/losfosfonautas/status/1070987963440467968","1070987963440467968")</f>
        <v>1070987963440467968</v>
      </c>
      <c r="F1261" s="11" t="s">
        <v>4676</v>
      </c>
      <c r="G1261" s="12"/>
      <c r="H1261" s="12"/>
      <c r="I1261" s="13">
        <v>3</v>
      </c>
      <c r="J1261" s="13">
        <v>5</v>
      </c>
      <c r="K1261" s="14" t="str">
        <f>HYPERLINK("http://www.facebook.com/twitter","Facebook")</f>
        <v>Facebook</v>
      </c>
      <c r="L1261" s="13">
        <v>30202</v>
      </c>
      <c r="M1261" s="13">
        <v>1122</v>
      </c>
      <c r="N1261" s="13">
        <v>145</v>
      </c>
      <c r="O1261" s="15"/>
      <c r="P1261" s="6">
        <v>41233.60670138889</v>
      </c>
      <c r="Q1261" s="12"/>
      <c r="R1261" s="17" t="s">
        <v>4677</v>
      </c>
      <c r="S1261" s="11" t="s">
        <v>4678</v>
      </c>
      <c r="T1261" s="12"/>
      <c r="U1261" s="10" t="str">
        <f>HYPERLINK("https://pbs.twimg.com/profile_images/1070276583448031233/brdhILyk.jpg","View")</f>
        <v>View</v>
      </c>
    </row>
    <row r="1262" spans="1:21" ht="51">
      <c r="A1262" s="6">
        <v>43441.475960648153</v>
      </c>
      <c r="B1262" s="7" t="str">
        <f>HYPERLINK("https://twitter.com/freddyzur","@freddyzur")</f>
        <v>@freddyzur</v>
      </c>
      <c r="C1262" s="8" t="s">
        <v>4679</v>
      </c>
      <c r="D1262" s="9" t="s">
        <v>4680</v>
      </c>
      <c r="E1262" s="10" t="str">
        <f>HYPERLINK("https://twitter.com/freddyzur/status/1070987627573190657","1070987627573190657")</f>
        <v>1070987627573190657</v>
      </c>
      <c r="F1262" s="11" t="s">
        <v>4681</v>
      </c>
      <c r="G1262" s="11" t="s">
        <v>4682</v>
      </c>
      <c r="H1262" s="12"/>
      <c r="I1262" s="13">
        <v>0</v>
      </c>
      <c r="J1262" s="13">
        <v>0</v>
      </c>
      <c r="K1262" s="14" t="str">
        <f>HYPERLINK("http://twitter.com/download/iphone","Twitter for iPhone")</f>
        <v>Twitter for iPhone</v>
      </c>
      <c r="L1262" s="13">
        <v>19579</v>
      </c>
      <c r="M1262" s="13">
        <v>12206</v>
      </c>
      <c r="N1262" s="13">
        <v>67</v>
      </c>
      <c r="O1262" s="15"/>
      <c r="P1262" s="6">
        <v>40203.921979166669</v>
      </c>
      <c r="Q1262" s="12"/>
      <c r="R1262" s="17" t="s">
        <v>4683</v>
      </c>
      <c r="S1262" s="12"/>
      <c r="T1262" s="12"/>
      <c r="U1262" s="10" t="str">
        <f>HYPERLINK("https://pbs.twimg.com/profile_images/512772477563305984/j5pnCZZy.jpeg","View")</f>
        <v>View</v>
      </c>
    </row>
    <row r="1263" spans="1:21" ht="20.399999999999999">
      <c r="A1263" s="6">
        <v>43441.475868055553</v>
      </c>
      <c r="B1263" s="7" t="str">
        <f>HYPERLINK("https://twitter.com/lamor_laura","@lamor_laura")</f>
        <v>@lamor_laura</v>
      </c>
      <c r="C1263" s="8" t="s">
        <v>4684</v>
      </c>
      <c r="D1263" s="9" t="s">
        <v>4460</v>
      </c>
      <c r="E1263" s="10" t="str">
        <f>HYPERLINK("https://twitter.com/lamor_laura/status/1070987596082352128","1070987596082352128")</f>
        <v>1070987596082352128</v>
      </c>
      <c r="F1263" s="11" t="s">
        <v>2089</v>
      </c>
      <c r="G1263" s="12"/>
      <c r="H1263" s="12"/>
      <c r="I1263" s="13">
        <v>2</v>
      </c>
      <c r="J1263" s="13">
        <v>1</v>
      </c>
      <c r="K1263" s="14" t="str">
        <f>HYPERLINK("http://twitter.com/#!/download/ipad","Twitter for iPad")</f>
        <v>Twitter for iPad</v>
      </c>
      <c r="L1263" s="13">
        <v>4288</v>
      </c>
      <c r="M1263" s="13">
        <v>4282</v>
      </c>
      <c r="N1263" s="13">
        <v>11</v>
      </c>
      <c r="O1263" s="15"/>
      <c r="P1263" s="6">
        <v>41541.831817129627</v>
      </c>
      <c r="Q1263" s="16" t="s">
        <v>4685</v>
      </c>
      <c r="R1263" s="17" t="s">
        <v>4686</v>
      </c>
      <c r="S1263" s="12"/>
      <c r="T1263" s="12"/>
      <c r="U1263" s="10" t="str">
        <f>HYPERLINK("https://pbs.twimg.com/profile_images/857228458044293120/uU6ALOG6.jpg","View")</f>
        <v>View</v>
      </c>
    </row>
    <row r="1264" spans="1:21" ht="40.799999999999997">
      <c r="A1264" s="6">
        <v>43441.475081018521</v>
      </c>
      <c r="B1264" s="7" t="str">
        <f>HYPERLINK("https://twitter.com/MarianoPlanells","@MarianoPlanells")</f>
        <v>@MarianoPlanells</v>
      </c>
      <c r="C1264" s="8" t="s">
        <v>258</v>
      </c>
      <c r="D1264" s="9" t="s">
        <v>4687</v>
      </c>
      <c r="E1264" s="10" t="str">
        <f>HYPERLINK("https://twitter.com/MarianoPlanells/status/1070987310437670912","1070987310437670912")</f>
        <v>1070987310437670912</v>
      </c>
      <c r="F1264" s="11" t="s">
        <v>2270</v>
      </c>
      <c r="G1264" s="12"/>
      <c r="H1264" s="12"/>
      <c r="I1264" s="13">
        <v>0</v>
      </c>
      <c r="J1264" s="13">
        <v>1</v>
      </c>
      <c r="K1264" s="14" t="str">
        <f>HYPERLINK("http://twitter.com","Twitter Web Client")</f>
        <v>Twitter Web Client</v>
      </c>
      <c r="L1264" s="13">
        <v>3815</v>
      </c>
      <c r="M1264" s="13">
        <v>138</v>
      </c>
      <c r="N1264" s="13">
        <v>157</v>
      </c>
      <c r="O1264" s="15"/>
      <c r="P1264" s="6">
        <v>40117.787372685183</v>
      </c>
      <c r="Q1264" s="16" t="s">
        <v>119</v>
      </c>
      <c r="R1264" s="17" t="s">
        <v>265</v>
      </c>
      <c r="S1264" s="11" t="s">
        <v>266</v>
      </c>
      <c r="T1264" s="12"/>
      <c r="U1264" s="10" t="str">
        <f>HYPERLINK("https://pbs.twimg.com/profile_images/984841371268931589/D_RuxUWa.jpg","View")</f>
        <v>View</v>
      </c>
    </row>
    <row r="1265" spans="1:21" ht="40.799999999999997">
      <c r="A1265" s="6">
        <v>43441.474861111114</v>
      </c>
      <c r="B1265" s="7" t="str">
        <f>HYPERLINK("https://twitter.com/puertocruz05","@puertocruz05")</f>
        <v>@puertocruz05</v>
      </c>
      <c r="C1265" s="8" t="s">
        <v>4688</v>
      </c>
      <c r="D1265" s="9" t="s">
        <v>4689</v>
      </c>
      <c r="E1265" s="10" t="str">
        <f>HYPERLINK("https://twitter.com/puertocruz05/status/1070987229139529728","1070987229139529728")</f>
        <v>1070987229139529728</v>
      </c>
      <c r="F1265" s="11" t="s">
        <v>4690</v>
      </c>
      <c r="G1265" s="12"/>
      <c r="H1265" s="12"/>
      <c r="I1265" s="13">
        <v>0</v>
      </c>
      <c r="J1265" s="13">
        <v>0</v>
      </c>
      <c r="K1265" s="14" t="str">
        <f t="shared" ref="K1265:K1266" si="212">HYPERLINK("http://twitter.com/#!/download/ipad","Twitter for iPad")</f>
        <v>Twitter for iPad</v>
      </c>
      <c r="L1265" s="13">
        <v>345</v>
      </c>
      <c r="M1265" s="13">
        <v>972</v>
      </c>
      <c r="N1265" s="13">
        <v>16</v>
      </c>
      <c r="O1265" s="15"/>
      <c r="P1265" s="6">
        <v>41259.492175925923</v>
      </c>
      <c r="Q1265" s="12"/>
      <c r="R1265" s="17" t="s">
        <v>4691</v>
      </c>
      <c r="S1265" s="12"/>
      <c r="T1265" s="12"/>
      <c r="U1265" s="10" t="str">
        <f>HYPERLINK("https://pbs.twimg.com/profile_images/2981980426/f8258064e2f84e2f4c483b7c7811c046.jpeg","View")</f>
        <v>View</v>
      </c>
    </row>
    <row r="1266" spans="1:21" ht="51">
      <c r="A1266" s="6">
        <v>43441.47179398148</v>
      </c>
      <c r="B1266" s="7" t="str">
        <f>HYPERLINK("https://twitter.com/linarconsultor","@linarconsultor")</f>
        <v>@linarconsultor</v>
      </c>
      <c r="C1266" s="8" t="s">
        <v>4692</v>
      </c>
      <c r="D1266" s="9" t="s">
        <v>4693</v>
      </c>
      <c r="E1266" s="10" t="str">
        <f>HYPERLINK("https://twitter.com/linarconsultor/status/1070986120178094080","1070986120178094080")</f>
        <v>1070986120178094080</v>
      </c>
      <c r="F1266" s="12"/>
      <c r="G1266" s="12"/>
      <c r="H1266" s="12"/>
      <c r="I1266" s="13">
        <v>0</v>
      </c>
      <c r="J1266" s="13">
        <v>0</v>
      </c>
      <c r="K1266" s="14" t="str">
        <f t="shared" si="212"/>
        <v>Twitter for iPad</v>
      </c>
      <c r="L1266" s="13">
        <v>356</v>
      </c>
      <c r="M1266" s="13">
        <v>530</v>
      </c>
      <c r="N1266" s="13">
        <v>9</v>
      </c>
      <c r="O1266" s="15"/>
      <c r="P1266" s="6">
        <v>42214.013668981483</v>
      </c>
      <c r="Q1266" s="12"/>
      <c r="R1266" s="17" t="s">
        <v>4694</v>
      </c>
      <c r="S1266" s="12"/>
      <c r="T1266" s="12"/>
      <c r="U1266" s="10" t="str">
        <f>HYPERLINK("https://pbs.twimg.com/profile_images/1060180127139708928/dDRbNCbM.jpg","View")</f>
        <v>View</v>
      </c>
    </row>
    <row r="1267" spans="1:21" ht="30.6">
      <c r="A1267" s="6">
        <v>43441.471493055556</v>
      </c>
      <c r="B1267" s="7" t="str">
        <f>HYPERLINK("https://twitter.com/jc_karnak23","@jc_karnak23")</f>
        <v>@jc_karnak23</v>
      </c>
      <c r="C1267" s="8" t="s">
        <v>4695</v>
      </c>
      <c r="D1267" s="9" t="s">
        <v>4696</v>
      </c>
      <c r="E1267" s="10" t="str">
        <f>HYPERLINK("https://twitter.com/jc_karnak23/status/1070986011885342722","1070986011885342722")</f>
        <v>1070986011885342722</v>
      </c>
      <c r="F1267" s="11" t="s">
        <v>4697</v>
      </c>
      <c r="G1267" s="12"/>
      <c r="H1267" s="12"/>
      <c r="I1267" s="13">
        <v>1</v>
      </c>
      <c r="J1267" s="13">
        <v>0</v>
      </c>
      <c r="K1267" s="14" t="str">
        <f t="shared" ref="K1267:K1270" si="213">HYPERLINK("http://twitter.com","Twitter Web Client")</f>
        <v>Twitter Web Client</v>
      </c>
      <c r="L1267" s="13">
        <v>2812</v>
      </c>
      <c r="M1267" s="13">
        <v>2823</v>
      </c>
      <c r="N1267" s="13">
        <v>33</v>
      </c>
      <c r="O1267" s="15"/>
      <c r="P1267" s="6">
        <v>41344.410902777774</v>
      </c>
      <c r="Q1267" s="16" t="s">
        <v>4698</v>
      </c>
      <c r="R1267" s="17" t="s">
        <v>4699</v>
      </c>
      <c r="S1267" s="12"/>
      <c r="T1267" s="12"/>
      <c r="U1267" s="10" t="str">
        <f>HYPERLINK("https://pbs.twimg.com/profile_images/378800000791829812/b1c03852c594214bb9fbd4c8b553b4f9.jpeg","View")</f>
        <v>View</v>
      </c>
    </row>
    <row r="1268" spans="1:21" ht="40.799999999999997">
      <c r="A1268" s="6">
        <v>43441.471354166672</v>
      </c>
      <c r="B1268" s="7" t="str">
        <f>HYPERLINK("https://twitter.com/fabiolanavarro4","@fabiolanavarro4")</f>
        <v>@fabiolanavarro4</v>
      </c>
      <c r="C1268" s="8" t="s">
        <v>4700</v>
      </c>
      <c r="D1268" s="9" t="s">
        <v>4701</v>
      </c>
      <c r="E1268" s="10" t="str">
        <f>HYPERLINK("https://twitter.com/fabiolanavarro4/status/1070985958332477440","1070985958332477440")</f>
        <v>1070985958332477440</v>
      </c>
      <c r="F1268" s="12"/>
      <c r="G1268" s="12"/>
      <c r="H1268" s="12"/>
      <c r="I1268" s="13">
        <v>1</v>
      </c>
      <c r="J1268" s="13">
        <v>0</v>
      </c>
      <c r="K1268" s="14" t="str">
        <f t="shared" si="213"/>
        <v>Twitter Web Client</v>
      </c>
      <c r="L1268" s="13">
        <v>1198</v>
      </c>
      <c r="M1268" s="13">
        <v>1139</v>
      </c>
      <c r="N1268" s="13">
        <v>18</v>
      </c>
      <c r="O1268" s="15"/>
      <c r="P1268" s="6">
        <v>40886.298148148147</v>
      </c>
      <c r="Q1268" s="16" t="s">
        <v>163</v>
      </c>
      <c r="R1268" s="17" t="s">
        <v>4702</v>
      </c>
      <c r="S1268" s="12"/>
      <c r="T1268" s="12"/>
      <c r="U1268" s="10" t="str">
        <f>HYPERLINK("https://pbs.twimg.com/profile_images/807561090854961152/knEBOjB3.jpg","View")</f>
        <v>View</v>
      </c>
    </row>
    <row r="1269" spans="1:21" ht="51">
      <c r="A1269" s="6">
        <v>43441.471145833333</v>
      </c>
      <c r="B1269" s="7" t="str">
        <f>HYPERLINK("https://twitter.com/pao_reilly","@pao_reilly")</f>
        <v>@pao_reilly</v>
      </c>
      <c r="C1269" s="8" t="s">
        <v>4703</v>
      </c>
      <c r="D1269" s="9" t="s">
        <v>4704</v>
      </c>
      <c r="E1269" s="10" t="str">
        <f>HYPERLINK("https://twitter.com/pao_reilly/status/1070985885154504704","1070985885154504704")</f>
        <v>1070985885154504704</v>
      </c>
      <c r="F1269" s="11" t="s">
        <v>4628</v>
      </c>
      <c r="G1269" s="12"/>
      <c r="H1269" s="12"/>
      <c r="I1269" s="13">
        <v>0</v>
      </c>
      <c r="J1269" s="13">
        <v>0</v>
      </c>
      <c r="K1269" s="14" t="str">
        <f t="shared" si="213"/>
        <v>Twitter Web Client</v>
      </c>
      <c r="L1269" s="13">
        <v>639</v>
      </c>
      <c r="M1269" s="13">
        <v>85</v>
      </c>
      <c r="N1269" s="13">
        <v>9</v>
      </c>
      <c r="O1269" s="15"/>
      <c r="P1269" s="6">
        <v>42447.972430555557</v>
      </c>
      <c r="Q1269" s="12"/>
      <c r="R1269" s="17" t="s">
        <v>4705</v>
      </c>
      <c r="S1269" s="12"/>
      <c r="T1269" s="12"/>
      <c r="U1269" s="10" t="str">
        <f>HYPERLINK("https://pbs.twimg.com/profile_images/761612773965066240/HqBU8QIw.jpg","View")</f>
        <v>View</v>
      </c>
    </row>
    <row r="1270" spans="1:21" ht="20.399999999999999">
      <c r="A1270" s="6">
        <v>43441.471122685187</v>
      </c>
      <c r="B1270" s="7" t="str">
        <f>HYPERLINK("https://twitter.com/Casiopea2903","@Casiopea2903")</f>
        <v>@Casiopea2903</v>
      </c>
      <c r="C1270" s="8" t="s">
        <v>4706</v>
      </c>
      <c r="D1270" s="9" t="s">
        <v>4707</v>
      </c>
      <c r="E1270" s="10" t="str">
        <f>HYPERLINK("https://twitter.com/Casiopea2903/status/1070985874836459525","1070985874836459525")</f>
        <v>1070985874836459525</v>
      </c>
      <c r="F1270" s="11" t="s">
        <v>4611</v>
      </c>
      <c r="G1270" s="12"/>
      <c r="H1270" s="12"/>
      <c r="I1270" s="13">
        <v>0</v>
      </c>
      <c r="J1270" s="13">
        <v>0</v>
      </c>
      <c r="K1270" s="14" t="str">
        <f t="shared" si="213"/>
        <v>Twitter Web Client</v>
      </c>
      <c r="L1270" s="13">
        <v>1038</v>
      </c>
      <c r="M1270" s="13">
        <v>2189</v>
      </c>
      <c r="N1270" s="13">
        <v>14</v>
      </c>
      <c r="O1270" s="15"/>
      <c r="P1270" s="6">
        <v>41728.881678240738</v>
      </c>
      <c r="Q1270" s="12"/>
      <c r="R1270" s="19"/>
      <c r="S1270" s="12"/>
      <c r="T1270" s="12"/>
      <c r="U1270" s="10" t="str">
        <f>HYPERLINK("https://pbs.twimg.com/profile_images/977610126898196480/bS3qJdLM.jpg","View")</f>
        <v>View</v>
      </c>
    </row>
    <row r="1271" spans="1:21" ht="40.799999999999997">
      <c r="A1271" s="6">
        <v>43441.471087962964</v>
      </c>
      <c r="B1271" s="7" t="str">
        <f>HYPERLINK("https://twitter.com/RadioUnionTfe","@RadioUnionTfe")</f>
        <v>@RadioUnionTfe</v>
      </c>
      <c r="C1271" s="8" t="s">
        <v>4033</v>
      </c>
      <c r="D1271" s="9" t="s">
        <v>4708</v>
      </c>
      <c r="E1271" s="10" t="str">
        <f>HYPERLINK("https://twitter.com/RadioUnionTfe/status/1070985863746777088","1070985863746777088")</f>
        <v>1070985863746777088</v>
      </c>
      <c r="F1271" s="11" t="s">
        <v>2409</v>
      </c>
      <c r="G1271" s="12"/>
      <c r="H1271" s="12"/>
      <c r="I1271" s="13">
        <v>0</v>
      </c>
      <c r="J1271" s="13">
        <v>0</v>
      </c>
      <c r="K1271" s="14" t="str">
        <f>HYPERLINK("http://twitter.com/download/android","Twitter for Android")</f>
        <v>Twitter for Android</v>
      </c>
      <c r="L1271" s="13">
        <v>170</v>
      </c>
      <c r="M1271" s="13">
        <v>63</v>
      </c>
      <c r="N1271" s="13">
        <v>1</v>
      </c>
      <c r="O1271" s="15"/>
      <c r="P1271" s="6">
        <v>40749.728564814817</v>
      </c>
      <c r="Q1271" s="12"/>
      <c r="R1271" s="19"/>
      <c r="S1271" s="12"/>
      <c r="T1271" s="12"/>
      <c r="U1271" s="10" t="str">
        <f>HYPERLINK("https://pbs.twimg.com/profile_images/912725003900211200/tvZWR99g.jpg","View")</f>
        <v>View</v>
      </c>
    </row>
    <row r="1272" spans="1:21" ht="40.799999999999997">
      <c r="A1272" s="6">
        <v>43441.470833333333</v>
      </c>
      <c r="B1272" s="7" t="str">
        <f>HYPERLINK("https://twitter.com/itsduero","@itsduero")</f>
        <v>@itsduero</v>
      </c>
      <c r="C1272" s="8" t="s">
        <v>4709</v>
      </c>
      <c r="D1272" s="9" t="s">
        <v>4710</v>
      </c>
      <c r="E1272" s="10" t="str">
        <f>HYPERLINK("https://twitter.com/itsduero/status/1070985770691891200","1070985770691891200")</f>
        <v>1070985770691891200</v>
      </c>
      <c r="F1272" s="11" t="s">
        <v>4711</v>
      </c>
      <c r="G1272" s="12"/>
      <c r="H1272" s="12"/>
      <c r="I1272" s="13">
        <v>0</v>
      </c>
      <c r="J1272" s="13">
        <v>0</v>
      </c>
      <c r="K1272" s="14" t="str">
        <f>HYPERLINK("https://about.twitter.com/products/tweetdeck","TweetDeck")</f>
        <v>TweetDeck</v>
      </c>
      <c r="L1272" s="13">
        <v>1123</v>
      </c>
      <c r="M1272" s="13">
        <v>1348</v>
      </c>
      <c r="N1272" s="13">
        <v>85</v>
      </c>
      <c r="O1272" s="15"/>
      <c r="P1272" s="6">
        <v>40591.701666666668</v>
      </c>
      <c r="Q1272" s="16" t="s">
        <v>4712</v>
      </c>
      <c r="R1272" s="17" t="s">
        <v>4713</v>
      </c>
      <c r="S1272" s="11" t="s">
        <v>4714</v>
      </c>
      <c r="T1272" s="12"/>
      <c r="U1272" s="10" t="str">
        <f>HYPERLINK("https://pbs.twimg.com/profile_images/509297827478900736/Laz9tb6s.jpeg","View")</f>
        <v>View</v>
      </c>
    </row>
    <row r="1273" spans="1:21" ht="71.400000000000006">
      <c r="A1273" s="6">
        <v>43441.470810185187</v>
      </c>
      <c r="B1273" s="7" t="str">
        <f>HYPERLINK("https://twitter.com/wysyq","@wysyq")</f>
        <v>@wysyq</v>
      </c>
      <c r="C1273" s="8" t="s">
        <v>4715</v>
      </c>
      <c r="D1273" s="9" t="s">
        <v>4716</v>
      </c>
      <c r="E1273" s="10" t="str">
        <f>HYPERLINK("https://twitter.com/wysyq/status/1070985761275723776","1070985761275723776")</f>
        <v>1070985761275723776</v>
      </c>
      <c r="F1273" s="11" t="s">
        <v>4717</v>
      </c>
      <c r="G1273" s="11" t="s">
        <v>523</v>
      </c>
      <c r="H1273" s="12"/>
      <c r="I1273" s="13">
        <v>1</v>
      </c>
      <c r="J1273" s="13">
        <v>0</v>
      </c>
      <c r="K1273" s="14" t="str">
        <f>HYPERLINK("http://twitter.com/#!/download/ipad","Twitter for iPad")</f>
        <v>Twitter for iPad</v>
      </c>
      <c r="L1273" s="13">
        <v>354</v>
      </c>
      <c r="M1273" s="13">
        <v>853</v>
      </c>
      <c r="N1273" s="13">
        <v>53</v>
      </c>
      <c r="O1273" s="15"/>
      <c r="P1273" s="6">
        <v>42028.022106481483</v>
      </c>
      <c r="Q1273" s="16" t="s">
        <v>60</v>
      </c>
      <c r="R1273" s="17" t="s">
        <v>4718</v>
      </c>
      <c r="S1273" s="11" t="s">
        <v>4719</v>
      </c>
      <c r="T1273" s="12"/>
      <c r="U1273" s="10" t="str">
        <f>HYPERLINK("https://pbs.twimg.com/profile_images/967384658718621696/g8eUxk0O.jpg","View")</f>
        <v>View</v>
      </c>
    </row>
    <row r="1274" spans="1:21" ht="30.6">
      <c r="A1274" s="6">
        <v>43441.47079861111</v>
      </c>
      <c r="B1274" s="7" t="str">
        <f>HYPERLINK("https://twitter.com/ICiuarriz","@ICiuarriz")</f>
        <v>@ICiuarriz</v>
      </c>
      <c r="C1274" s="8" t="s">
        <v>4720</v>
      </c>
      <c r="D1274" s="9" t="s">
        <v>4721</v>
      </c>
      <c r="E1274" s="10" t="str">
        <f>HYPERLINK("https://twitter.com/ICiuarriz/status/1070985757148495872","1070985757148495872")</f>
        <v>1070985757148495872</v>
      </c>
      <c r="F1274" s="11" t="s">
        <v>3561</v>
      </c>
      <c r="G1274" s="12"/>
      <c r="H1274" s="12"/>
      <c r="I1274" s="13">
        <v>0</v>
      </c>
      <c r="J1274" s="13">
        <v>0</v>
      </c>
      <c r="K1274" s="14" t="str">
        <f>HYPERLINK("http://twitter.com","Twitter Web Client")</f>
        <v>Twitter Web Client</v>
      </c>
      <c r="L1274" s="13">
        <v>302</v>
      </c>
      <c r="M1274" s="13">
        <v>798</v>
      </c>
      <c r="N1274" s="13">
        <v>3</v>
      </c>
      <c r="O1274" s="15"/>
      <c r="P1274" s="6">
        <v>40863.830833333333</v>
      </c>
      <c r="Q1274" s="16" t="s">
        <v>4722</v>
      </c>
      <c r="R1274" s="17" t="s">
        <v>4723</v>
      </c>
      <c r="S1274" s="11" t="s">
        <v>4724</v>
      </c>
      <c r="T1274" s="12"/>
      <c r="U1274" s="10" t="str">
        <f>HYPERLINK("https://pbs.twimg.com/profile_images/950080229359472640/DdLQgZwx.jpg","View")</f>
        <v>View</v>
      </c>
    </row>
    <row r="1275" spans="1:21" ht="51">
      <c r="A1275" s="6">
        <v>43441.470520833333</v>
      </c>
      <c r="B1275" s="7" t="str">
        <f>HYPERLINK("https://twitter.com/Ismaelescuincs","@Ismaelescuincs")</f>
        <v>@Ismaelescuincs</v>
      </c>
      <c r="C1275" s="8" t="s">
        <v>4725</v>
      </c>
      <c r="D1275" s="9" t="s">
        <v>4726</v>
      </c>
      <c r="E1275" s="10" t="str">
        <f>HYPERLINK("https://twitter.com/Ismaelescuincs/status/1070985658695593986","1070985658695593986")</f>
        <v>1070985658695593986</v>
      </c>
      <c r="F1275" s="11" t="s">
        <v>4727</v>
      </c>
      <c r="G1275" s="12"/>
      <c r="H1275" s="12"/>
      <c r="I1275" s="13">
        <v>7</v>
      </c>
      <c r="J1275" s="13">
        <v>5</v>
      </c>
      <c r="K1275" s="14" t="str">
        <f>HYPERLINK("http://twitter.com/download/iphone","Twitter for iPhone")</f>
        <v>Twitter for iPhone</v>
      </c>
      <c r="L1275" s="13">
        <v>1138</v>
      </c>
      <c r="M1275" s="13">
        <v>1215</v>
      </c>
      <c r="N1275" s="13">
        <v>1</v>
      </c>
      <c r="O1275" s="15"/>
      <c r="P1275" s="6">
        <v>43085.040821759263</v>
      </c>
      <c r="Q1275" s="16" t="s">
        <v>4728</v>
      </c>
      <c r="R1275" s="17" t="s">
        <v>4729</v>
      </c>
      <c r="S1275" s="11" t="s">
        <v>4730</v>
      </c>
      <c r="T1275" s="12"/>
      <c r="U1275" s="10" t="str">
        <f>HYPERLINK("https://pbs.twimg.com/profile_images/1041730517530492928/JLvy_OFv.jpg","View")</f>
        <v>View</v>
      </c>
    </row>
    <row r="1276" spans="1:21" ht="51">
      <c r="A1276" s="6">
        <v>43441.469976851848</v>
      </c>
      <c r="B1276" s="7" t="str">
        <f>HYPERLINK("https://twitter.com/Antifede","@Antifede")</f>
        <v>@Antifede</v>
      </c>
      <c r="C1276" s="8" t="s">
        <v>4731</v>
      </c>
      <c r="D1276" s="9" t="s">
        <v>4732</v>
      </c>
      <c r="E1276" s="10" t="str">
        <f>HYPERLINK("https://twitter.com/Antifede/status/1070985461441671168","1070985461441671168")</f>
        <v>1070985461441671168</v>
      </c>
      <c r="F1276" s="12"/>
      <c r="G1276" s="12"/>
      <c r="H1276" s="12"/>
      <c r="I1276" s="13">
        <v>0</v>
      </c>
      <c r="J1276" s="13">
        <v>0</v>
      </c>
      <c r="K1276" s="14" t="str">
        <f>HYPERLINK("http://twitter.com","Twitter Web Client")</f>
        <v>Twitter Web Client</v>
      </c>
      <c r="L1276" s="13">
        <v>481</v>
      </c>
      <c r="M1276" s="13">
        <v>246</v>
      </c>
      <c r="N1276" s="13">
        <v>9</v>
      </c>
      <c r="O1276" s="15"/>
      <c r="P1276" s="6">
        <v>40624.840671296297</v>
      </c>
      <c r="Q1276" s="16" t="s">
        <v>4733</v>
      </c>
      <c r="R1276" s="17" t="s">
        <v>4734</v>
      </c>
      <c r="S1276" s="12"/>
      <c r="T1276" s="12"/>
      <c r="U1276" s="10" t="str">
        <f>HYPERLINK("https://pbs.twimg.com/profile_images/886170058858393601/_seTu94k.jpg","View")</f>
        <v>View</v>
      </c>
    </row>
    <row r="1277" spans="1:21" ht="51">
      <c r="A1277" s="6">
        <v>43441.469768518524</v>
      </c>
      <c r="B1277" s="7" t="str">
        <f>HYPERLINK("https://twitter.com/Demarichel","@Demarichel")</f>
        <v>@Demarichel</v>
      </c>
      <c r="C1277" s="8" t="s">
        <v>1274</v>
      </c>
      <c r="D1277" s="9" t="s">
        <v>4735</v>
      </c>
      <c r="E1277" s="10" t="str">
        <f>HYPERLINK("https://twitter.com/Demarichel/status/1070985383771627520","1070985383771627520")</f>
        <v>1070985383771627520</v>
      </c>
      <c r="F1277" s="12"/>
      <c r="G1277" s="12"/>
      <c r="H1277" s="12"/>
      <c r="I1277" s="13">
        <v>0</v>
      </c>
      <c r="J1277" s="13">
        <v>0</v>
      </c>
      <c r="K1277" s="14" t="str">
        <f>HYPERLINK("https://mobile.twitter.com","Twitter Lite")</f>
        <v>Twitter Lite</v>
      </c>
      <c r="L1277" s="13">
        <v>6</v>
      </c>
      <c r="M1277" s="13">
        <v>5</v>
      </c>
      <c r="N1277" s="13">
        <v>0</v>
      </c>
      <c r="O1277" s="15"/>
      <c r="P1277" s="6">
        <v>41241.454247685186</v>
      </c>
      <c r="Q1277" s="12"/>
      <c r="R1277" s="19"/>
      <c r="S1277" s="12"/>
      <c r="T1277" s="12"/>
      <c r="U1277" s="10" t="str">
        <f>HYPERLINK("https://pbs.twimg.com/profile_images/2930444441/0b8ac1347b75fd1f92ae7d9a8c492a0f.jpeg","View")</f>
        <v>View</v>
      </c>
    </row>
    <row r="1278" spans="1:21" ht="20.399999999999999">
      <c r="A1278" s="6">
        <v>43441.468680555554</v>
      </c>
      <c r="B1278" s="7" t="str">
        <f>HYPERLINK("https://twitter.com/Vzaino1","@Vzaino1")</f>
        <v>@Vzaino1</v>
      </c>
      <c r="C1278" s="8" t="s">
        <v>1265</v>
      </c>
      <c r="D1278" s="9" t="s">
        <v>4736</v>
      </c>
      <c r="E1278" s="10" t="str">
        <f>HYPERLINK("https://twitter.com/Vzaino1/status/1070984991914557440","1070984991914557440")</f>
        <v>1070984991914557440</v>
      </c>
      <c r="F1278" s="11" t="s">
        <v>4737</v>
      </c>
      <c r="G1278" s="12"/>
      <c r="H1278" s="12"/>
      <c r="I1278" s="13">
        <v>0</v>
      </c>
      <c r="J1278" s="13">
        <v>0</v>
      </c>
      <c r="K1278" s="14" t="str">
        <f>HYPERLINK("http://twitter.com","Twitter Web Client")</f>
        <v>Twitter Web Client</v>
      </c>
      <c r="L1278" s="13">
        <v>287</v>
      </c>
      <c r="M1278" s="13">
        <v>654</v>
      </c>
      <c r="N1278" s="13">
        <v>0</v>
      </c>
      <c r="O1278" s="15"/>
      <c r="P1278" s="6">
        <v>43402.79069444444</v>
      </c>
      <c r="Q1278" s="12"/>
      <c r="R1278" s="17" t="s">
        <v>1268</v>
      </c>
      <c r="S1278" s="12"/>
      <c r="T1278" s="12"/>
      <c r="U1278" s="18" t="s">
        <v>67</v>
      </c>
    </row>
    <row r="1279" spans="1:21" ht="40.799999999999997">
      <c r="A1279" s="6">
        <v>43441.468055555553</v>
      </c>
      <c r="B1279" s="7" t="str">
        <f>HYPERLINK("https://twitter.com/carmen92174319","@carmen92174319")</f>
        <v>@carmen92174319</v>
      </c>
      <c r="C1279" s="8" t="s">
        <v>4738</v>
      </c>
      <c r="D1279" s="9" t="s">
        <v>4739</v>
      </c>
      <c r="E1279" s="10" t="str">
        <f>HYPERLINK("https://twitter.com/carmen92174319/status/1070984763123646464","1070984763123646464")</f>
        <v>1070984763123646464</v>
      </c>
      <c r="F1279" s="11" t="s">
        <v>4740</v>
      </c>
      <c r="G1279" s="12"/>
      <c r="H1279" s="12"/>
      <c r="I1279" s="13">
        <v>0</v>
      </c>
      <c r="J1279" s="13">
        <v>0</v>
      </c>
      <c r="K1279" s="14" t="str">
        <f>HYPERLINK("http://www.facebook.com/twitter","Facebook")</f>
        <v>Facebook</v>
      </c>
      <c r="L1279" s="13">
        <v>124</v>
      </c>
      <c r="M1279" s="13">
        <v>329</v>
      </c>
      <c r="N1279" s="13">
        <v>0</v>
      </c>
      <c r="O1279" s="15"/>
      <c r="P1279" s="6">
        <v>41440.407870370371</v>
      </c>
      <c r="Q1279" s="12"/>
      <c r="R1279" s="19"/>
      <c r="S1279" s="11" t="s">
        <v>4741</v>
      </c>
      <c r="T1279" s="12"/>
      <c r="U1279" s="10" t="str">
        <f>HYPERLINK("https://pbs.twimg.com/profile_images/747837766873026560/1iUOW42D.jpg","View")</f>
        <v>View</v>
      </c>
    </row>
    <row r="1280" spans="1:21" ht="40.799999999999997">
      <c r="A1280" s="6">
        <v>43441.467523148152</v>
      </c>
      <c r="B1280" s="7" t="str">
        <f>HYPERLINK("https://twitter.com/UnMundo_alReves","@UnMundo_alReves")</f>
        <v>@UnMundo_alReves</v>
      </c>
      <c r="C1280" s="8" t="s">
        <v>4742</v>
      </c>
      <c r="D1280" s="9" t="s">
        <v>4743</v>
      </c>
      <c r="E1280" s="10" t="str">
        <f>HYPERLINK("https://twitter.com/UnMundo_alReves/status/1070984570638614528","1070984570638614528")</f>
        <v>1070984570638614528</v>
      </c>
      <c r="F1280" s="11" t="s">
        <v>4176</v>
      </c>
      <c r="G1280" s="12"/>
      <c r="H1280" s="12"/>
      <c r="I1280" s="13">
        <v>0</v>
      </c>
      <c r="J1280" s="13">
        <v>0</v>
      </c>
      <c r="K1280" s="14" t="str">
        <f t="shared" ref="K1280:K1281" si="214">HYPERLINK("http://twitter.com","Twitter Web Client")</f>
        <v>Twitter Web Client</v>
      </c>
      <c r="L1280" s="13">
        <v>369</v>
      </c>
      <c r="M1280" s="13">
        <v>420</v>
      </c>
      <c r="N1280" s="13">
        <v>2</v>
      </c>
      <c r="O1280" s="15"/>
      <c r="P1280" s="6">
        <v>42155.813113425931</v>
      </c>
      <c r="Q1280" s="12"/>
      <c r="R1280" s="17" t="s">
        <v>4744</v>
      </c>
      <c r="S1280" s="12"/>
      <c r="T1280" s="12"/>
      <c r="U1280" s="10" t="str">
        <f>HYPERLINK("https://pbs.twimg.com/profile_images/1070951655007506433/15ax03tc.jpg","View")</f>
        <v>View</v>
      </c>
    </row>
    <row r="1281" spans="1:21" ht="20.399999999999999">
      <c r="A1281" s="6">
        <v>43441.466736111106</v>
      </c>
      <c r="B1281" s="7" t="str">
        <f>HYPERLINK("https://twitter.com/iamanavigator","@iamanavigator")</f>
        <v>@iamanavigator</v>
      </c>
      <c r="C1281" s="8" t="s">
        <v>4745</v>
      </c>
      <c r="D1281" s="9" t="s">
        <v>4627</v>
      </c>
      <c r="E1281" s="10" t="str">
        <f>HYPERLINK("https://twitter.com/iamanavigator/status/1070984288458420224","1070984288458420224")</f>
        <v>1070984288458420224</v>
      </c>
      <c r="F1281" s="11" t="s">
        <v>4628</v>
      </c>
      <c r="G1281" s="12"/>
      <c r="H1281" s="12"/>
      <c r="I1281" s="13">
        <v>0</v>
      </c>
      <c r="J1281" s="13">
        <v>0</v>
      </c>
      <c r="K1281" s="14" t="str">
        <f t="shared" si="214"/>
        <v>Twitter Web Client</v>
      </c>
      <c r="L1281" s="13">
        <v>1773</v>
      </c>
      <c r="M1281" s="13">
        <v>1728</v>
      </c>
      <c r="N1281" s="13">
        <v>17</v>
      </c>
      <c r="O1281" s="15"/>
      <c r="P1281" s="6">
        <v>41557.977951388893</v>
      </c>
      <c r="Q1281" s="12"/>
      <c r="R1281" s="17" t="s">
        <v>4746</v>
      </c>
      <c r="S1281" s="12"/>
      <c r="T1281" s="12"/>
      <c r="U1281" s="10" t="str">
        <f>HYPERLINK("https://pbs.twimg.com/profile_images/759522400837009408/1DH1G-nX.jpg","View")</f>
        <v>View</v>
      </c>
    </row>
    <row r="1282" spans="1:21" ht="30.6">
      <c r="A1282" s="6">
        <v>43441.466504629629</v>
      </c>
      <c r="B1282" s="7" t="str">
        <f>HYPERLINK("https://twitter.com/ChimoleManza1","@ChimoleManza1")</f>
        <v>@ChimoleManza1</v>
      </c>
      <c r="C1282" s="8" t="s">
        <v>4747</v>
      </c>
      <c r="D1282" s="9" t="s">
        <v>4748</v>
      </c>
      <c r="E1282" s="10" t="str">
        <f>HYPERLINK("https://twitter.com/ChimoleManza1/status/1070984204740120577","1070984204740120577")</f>
        <v>1070984204740120577</v>
      </c>
      <c r="F1282" s="11" t="s">
        <v>4749</v>
      </c>
      <c r="G1282" s="12"/>
      <c r="H1282" s="12"/>
      <c r="I1282" s="13">
        <v>0</v>
      </c>
      <c r="J1282" s="13">
        <v>0</v>
      </c>
      <c r="K1282" s="14" t="str">
        <f>HYPERLINK("http://twitter.com/download/android","Twitter for Android")</f>
        <v>Twitter for Android</v>
      </c>
      <c r="L1282" s="13">
        <v>1445</v>
      </c>
      <c r="M1282" s="13">
        <v>1716</v>
      </c>
      <c r="N1282" s="13">
        <v>11</v>
      </c>
      <c r="O1282" s="15"/>
      <c r="P1282" s="6">
        <v>40707.788310185184</v>
      </c>
      <c r="Q1282" s="16" t="s">
        <v>4750</v>
      </c>
      <c r="R1282" s="17" t="s">
        <v>4751</v>
      </c>
      <c r="S1282" s="12"/>
      <c r="T1282" s="12"/>
      <c r="U1282" s="10" t="str">
        <f>HYPERLINK("https://pbs.twimg.com/profile_images/2036850246/5o49auk0","View")</f>
        <v>View</v>
      </c>
    </row>
    <row r="1283" spans="1:21" ht="20.399999999999999">
      <c r="A1283" s="6">
        <v>43441.466111111113</v>
      </c>
      <c r="B1283" s="7" t="str">
        <f>HYPERLINK("https://twitter.com/wiwi_ngm","@wiwi_ngm")</f>
        <v>@wiwi_ngm</v>
      </c>
      <c r="C1283" s="8" t="s">
        <v>4752</v>
      </c>
      <c r="D1283" s="9" t="s">
        <v>4753</v>
      </c>
      <c r="E1283" s="10" t="str">
        <f>HYPERLINK("https://twitter.com/wiwi_ngm/status/1070984060439314432","1070984060439314432")</f>
        <v>1070984060439314432</v>
      </c>
      <c r="F1283" s="11" t="s">
        <v>4754</v>
      </c>
      <c r="G1283" s="12"/>
      <c r="H1283" s="12"/>
      <c r="I1283" s="13">
        <v>0</v>
      </c>
      <c r="J1283" s="13">
        <v>2</v>
      </c>
      <c r="K1283" s="14" t="str">
        <f>HYPERLINK("http://twitter.com/download/iphone","Twitter for iPhone")</f>
        <v>Twitter for iPhone</v>
      </c>
      <c r="L1283" s="13">
        <v>1495</v>
      </c>
      <c r="M1283" s="13">
        <v>154</v>
      </c>
      <c r="N1283" s="13">
        <v>12</v>
      </c>
      <c r="O1283" s="15"/>
      <c r="P1283" s="6">
        <v>43050.9606712963</v>
      </c>
      <c r="Q1283" s="16" t="s">
        <v>133</v>
      </c>
      <c r="R1283" s="17" t="s">
        <v>4755</v>
      </c>
      <c r="S1283" s="12"/>
      <c r="T1283" s="12"/>
      <c r="U1283" s="10" t="str">
        <f>HYPERLINK("https://pbs.twimg.com/profile_images/1029775449063337984/X5qvbTla.jpg","View")</f>
        <v>View</v>
      </c>
    </row>
    <row r="1284" spans="1:21" ht="20.399999999999999">
      <c r="A1284" s="6">
        <v>43441.465995370367</v>
      </c>
      <c r="B1284" s="7" t="str">
        <f>HYPERLINK("https://twitter.com/CwhRoss","@CwhRoss")</f>
        <v>@CwhRoss</v>
      </c>
      <c r="C1284" s="8" t="s">
        <v>1909</v>
      </c>
      <c r="D1284" s="9" t="s">
        <v>1791</v>
      </c>
      <c r="E1284" s="10" t="str">
        <f>HYPERLINK("https://twitter.com/CwhRoss/status/1070984018290769920","1070984018290769920")</f>
        <v>1070984018290769920</v>
      </c>
      <c r="F1284" s="11" t="s">
        <v>246</v>
      </c>
      <c r="G1284" s="12"/>
      <c r="H1284" s="12"/>
      <c r="I1284" s="13">
        <v>0</v>
      </c>
      <c r="J1284" s="13">
        <v>0</v>
      </c>
      <c r="K1284" s="14" t="str">
        <f>HYPERLINK("http://www.facebook.com/twitter","Facebook")</f>
        <v>Facebook</v>
      </c>
      <c r="L1284" s="13">
        <v>170</v>
      </c>
      <c r="M1284" s="13">
        <v>2</v>
      </c>
      <c r="N1284" s="13">
        <v>45</v>
      </c>
      <c r="O1284" s="15"/>
      <c r="P1284" s="6">
        <v>41008.781701388885</v>
      </c>
      <c r="Q1284" s="16" t="s">
        <v>1910</v>
      </c>
      <c r="R1284" s="23" t="s">
        <v>1911</v>
      </c>
      <c r="S1284" s="11" t="s">
        <v>1912</v>
      </c>
      <c r="T1284" s="12"/>
      <c r="U1284" s="10" t="str">
        <f>HYPERLINK("https://pbs.twimg.com/profile_images/2076887937/Copy_of_cerdo_con_maciza.jpg","View")</f>
        <v>View</v>
      </c>
    </row>
    <row r="1285" spans="1:21" ht="51">
      <c r="A1285" s="6">
        <v>43441.465648148151</v>
      </c>
      <c r="B1285" s="7" t="str">
        <f>HYPERLINK("https://twitter.com/Demarichel","@Demarichel")</f>
        <v>@Demarichel</v>
      </c>
      <c r="C1285" s="8" t="s">
        <v>1274</v>
      </c>
      <c r="D1285" s="9" t="s">
        <v>4756</v>
      </c>
      <c r="E1285" s="10" t="str">
        <f>HYPERLINK("https://twitter.com/Demarichel/status/1070983894382583808","1070983894382583808")</f>
        <v>1070983894382583808</v>
      </c>
      <c r="F1285" s="12"/>
      <c r="G1285" s="12"/>
      <c r="H1285" s="12"/>
      <c r="I1285" s="13">
        <v>0</v>
      </c>
      <c r="J1285" s="13">
        <v>0</v>
      </c>
      <c r="K1285" s="14" t="str">
        <f>HYPERLINK("https://mobile.twitter.com","Twitter Lite")</f>
        <v>Twitter Lite</v>
      </c>
      <c r="L1285" s="13">
        <v>6</v>
      </c>
      <c r="M1285" s="13">
        <v>5</v>
      </c>
      <c r="N1285" s="13">
        <v>0</v>
      </c>
      <c r="O1285" s="15"/>
      <c r="P1285" s="6">
        <v>41241.454247685186</v>
      </c>
      <c r="Q1285" s="12"/>
      <c r="R1285" s="19"/>
      <c r="S1285" s="12"/>
      <c r="T1285" s="12"/>
      <c r="U1285" s="10" t="str">
        <f>HYPERLINK("https://pbs.twimg.com/profile_images/2930444441/0b8ac1347b75fd1f92ae7d9a8c492a0f.jpeg","View")</f>
        <v>View</v>
      </c>
    </row>
    <row r="1286" spans="1:21" ht="13.2">
      <c r="A1286" s="6">
        <v>43441.465509259258</v>
      </c>
      <c r="B1286" s="7" t="str">
        <f>HYPERLINK("https://twitter.com/ppapanol","@ppapanol")</f>
        <v>@ppapanol</v>
      </c>
      <c r="C1286" s="8" t="s">
        <v>1312</v>
      </c>
      <c r="D1286" s="9" t="s">
        <v>2088</v>
      </c>
      <c r="E1286" s="10" t="str">
        <f>HYPERLINK("https://twitter.com/ppapanol/status/1070983842205454336","1070983842205454336")</f>
        <v>1070983842205454336</v>
      </c>
      <c r="F1286" s="11" t="s">
        <v>2089</v>
      </c>
      <c r="G1286" s="12"/>
      <c r="H1286" s="12"/>
      <c r="I1286" s="13">
        <v>0</v>
      </c>
      <c r="J1286" s="13">
        <v>0</v>
      </c>
      <c r="K1286" s="14" t="str">
        <f>HYPERLINK("http://twitter.com","Twitter Web Client")</f>
        <v>Twitter Web Client</v>
      </c>
      <c r="L1286" s="13">
        <v>2046</v>
      </c>
      <c r="M1286" s="13">
        <v>4751</v>
      </c>
      <c r="N1286" s="13">
        <v>14</v>
      </c>
      <c r="O1286" s="15"/>
      <c r="P1286" s="6">
        <v>42334.543576388889</v>
      </c>
      <c r="Q1286" s="12"/>
      <c r="R1286" s="19"/>
      <c r="S1286" s="11" t="s">
        <v>1315</v>
      </c>
      <c r="T1286" s="12"/>
      <c r="U1286" s="10" t="str">
        <f>HYPERLINK("https://pbs.twimg.com/profile_images/669857784943497216/RABWZZ4G.jpg","View")</f>
        <v>View</v>
      </c>
    </row>
    <row r="1287" spans="1:21" ht="30.6">
      <c r="A1287" s="6">
        <v>43441.465462962966</v>
      </c>
      <c r="B1287" s="7" t="str">
        <f>HYPERLINK("https://twitter.com/Julianvirome","@Julianvirome")</f>
        <v>@Julianvirome</v>
      </c>
      <c r="C1287" s="8" t="s">
        <v>1034</v>
      </c>
      <c r="D1287" s="9" t="s">
        <v>4757</v>
      </c>
      <c r="E1287" s="10" t="str">
        <f>HYPERLINK("https://twitter.com/Julianvirome/status/1070983825352732672","1070983825352732672")</f>
        <v>1070983825352732672</v>
      </c>
      <c r="F1287" s="12"/>
      <c r="G1287" s="12"/>
      <c r="H1287" s="12"/>
      <c r="I1287" s="13">
        <v>2</v>
      </c>
      <c r="J1287" s="13">
        <v>4</v>
      </c>
      <c r="K1287" s="14" t="str">
        <f>HYPERLINK("http://twitter.com/download/android","Twitter for Android")</f>
        <v>Twitter for Android</v>
      </c>
      <c r="L1287" s="13">
        <v>2630</v>
      </c>
      <c r="M1287" s="13">
        <v>4994</v>
      </c>
      <c r="N1287" s="13">
        <v>23</v>
      </c>
      <c r="O1287" s="15"/>
      <c r="P1287" s="6">
        <v>40630.875810185185</v>
      </c>
      <c r="Q1287" s="16" t="s">
        <v>200</v>
      </c>
      <c r="R1287" s="17" t="s">
        <v>1037</v>
      </c>
      <c r="S1287" s="12"/>
      <c r="T1287" s="12"/>
      <c r="U1287" s="10" t="str">
        <f>HYPERLINK("https://pbs.twimg.com/profile_images/1015475281803530241/aBROVKXy.jpg","View")</f>
        <v>View</v>
      </c>
    </row>
    <row r="1288" spans="1:21" ht="30.6">
      <c r="A1288" s="6">
        <v>43441.465381944443</v>
      </c>
      <c r="B1288" s="7" t="str">
        <f>HYPERLINK("https://twitter.com/JosCarlosMolin1","@JosCarlosMolin1")</f>
        <v>@JosCarlosMolin1</v>
      </c>
      <c r="C1288" s="8" t="s">
        <v>4758</v>
      </c>
      <c r="D1288" s="9" t="s">
        <v>4759</v>
      </c>
      <c r="E1288" s="10" t="str">
        <f>HYPERLINK("https://twitter.com/JosCarlosMolin1/status/1070983795640279040","1070983795640279040")</f>
        <v>1070983795640279040</v>
      </c>
      <c r="F1288" s="11" t="s">
        <v>4628</v>
      </c>
      <c r="G1288" s="12"/>
      <c r="H1288" s="12"/>
      <c r="I1288" s="13">
        <v>0</v>
      </c>
      <c r="J1288" s="13">
        <v>0</v>
      </c>
      <c r="K1288" s="14" t="str">
        <f>HYPERLINK("http://www.facebook.com/twitter","Facebook")</f>
        <v>Facebook</v>
      </c>
      <c r="L1288" s="13">
        <v>1077</v>
      </c>
      <c r="M1288" s="13">
        <v>2009</v>
      </c>
      <c r="N1288" s="13">
        <v>8</v>
      </c>
      <c r="O1288" s="15"/>
      <c r="P1288" s="6">
        <v>41247.44835648148</v>
      </c>
      <c r="Q1288" s="16" t="s">
        <v>4760</v>
      </c>
      <c r="R1288" s="17" t="s">
        <v>4761</v>
      </c>
      <c r="S1288" s="11" t="s">
        <v>4762</v>
      </c>
      <c r="T1288" s="12"/>
      <c r="U1288" s="10" t="str">
        <f>HYPERLINK("https://pbs.twimg.com/profile_images/741569749373554688/IW-g9R7D.jpg","View")</f>
        <v>View</v>
      </c>
    </row>
    <row r="1289" spans="1:21" ht="51">
      <c r="A1289" s="6">
        <v>43441.465277777781</v>
      </c>
      <c r="B1289" s="7" t="str">
        <f>HYPERLINK("https://twitter.com/amedinaguti","@amedinaguti")</f>
        <v>@amedinaguti</v>
      </c>
      <c r="C1289" s="8" t="s">
        <v>4763</v>
      </c>
      <c r="D1289" s="9" t="s">
        <v>4764</v>
      </c>
      <c r="E1289" s="10" t="str">
        <f>HYPERLINK("https://twitter.com/amedinaguti/status/1070983759502213120","1070983759502213120")</f>
        <v>1070983759502213120</v>
      </c>
      <c r="F1289" s="11" t="s">
        <v>4765</v>
      </c>
      <c r="G1289" s="12"/>
      <c r="H1289" s="12"/>
      <c r="I1289" s="13">
        <v>0</v>
      </c>
      <c r="J1289" s="13">
        <v>0</v>
      </c>
      <c r="K1289" s="14" t="str">
        <f>HYPERLINK("http://twitter.com/#!/download/ipad","Twitter for iPad")</f>
        <v>Twitter for iPad</v>
      </c>
      <c r="L1289" s="13">
        <v>441</v>
      </c>
      <c r="M1289" s="13">
        <v>963</v>
      </c>
      <c r="N1289" s="13">
        <v>2</v>
      </c>
      <c r="O1289" s="15"/>
      <c r="P1289" s="6">
        <v>41805.797430555554</v>
      </c>
      <c r="Q1289" s="16" t="s">
        <v>4766</v>
      </c>
      <c r="R1289" s="17" t="s">
        <v>4767</v>
      </c>
      <c r="S1289" s="12"/>
      <c r="T1289" s="12"/>
      <c r="U1289" s="10" t="str">
        <f>HYPERLINK("https://pbs.twimg.com/profile_images/478222854048468994/6TmMiTQ4.jpeg","View")</f>
        <v>View</v>
      </c>
    </row>
    <row r="1290" spans="1:21" ht="40.799999999999997">
      <c r="A1290" s="6">
        <v>43441.464583333334</v>
      </c>
      <c r="B1290" s="7" t="str">
        <f>HYPERLINK("https://twitter.com/eldiarioes","@eldiarioes")</f>
        <v>@eldiarioes</v>
      </c>
      <c r="C1290" s="20" t="s">
        <v>642</v>
      </c>
      <c r="D1290" s="9" t="s">
        <v>4708</v>
      </c>
      <c r="E1290" s="10" t="str">
        <f>HYPERLINK("https://twitter.com/eldiarioes/status/1070983505709096960","1070983505709096960")</f>
        <v>1070983505709096960</v>
      </c>
      <c r="F1290" s="11" t="s">
        <v>2409</v>
      </c>
      <c r="G1290" s="11" t="s">
        <v>4768</v>
      </c>
      <c r="H1290" s="12"/>
      <c r="I1290" s="13">
        <v>7</v>
      </c>
      <c r="J1290" s="13">
        <v>8</v>
      </c>
      <c r="K1290" s="14" t="str">
        <f>HYPERLINK("https://about.twitter.com/products/tweetdeck","TweetDeck")</f>
        <v>TweetDeck</v>
      </c>
      <c r="L1290" s="13">
        <v>940167</v>
      </c>
      <c r="M1290" s="13">
        <v>456</v>
      </c>
      <c r="N1290" s="13">
        <v>11262</v>
      </c>
      <c r="O1290" s="18" t="s">
        <v>41</v>
      </c>
      <c r="P1290" s="6">
        <v>40992.839189814811</v>
      </c>
      <c r="Q1290" s="12"/>
      <c r="R1290" s="17" t="s">
        <v>643</v>
      </c>
      <c r="S1290" s="11" t="s">
        <v>644</v>
      </c>
      <c r="T1290" s="12"/>
      <c r="U1290" s="10" t="str">
        <f>HYPERLINK("https://pbs.twimg.com/profile_images/1016600645292511232/eYIkIK2s.jpg","View")</f>
        <v>View</v>
      </c>
    </row>
    <row r="1291" spans="1:21" ht="40.799999999999997">
      <c r="A1291" s="6">
        <v>43441.463854166665</v>
      </c>
      <c r="B1291" s="7" t="str">
        <f>HYPERLINK("https://twitter.com/SolidariosSport","@SolidariosSport")</f>
        <v>@SolidariosSport</v>
      </c>
      <c r="C1291" s="8" t="s">
        <v>4769</v>
      </c>
      <c r="D1291" s="9" t="s">
        <v>4770</v>
      </c>
      <c r="E1291" s="10" t="str">
        <f>HYPERLINK("https://twitter.com/SolidariosSport/status/1070983242977865729","1070983242977865729")</f>
        <v>1070983242977865729</v>
      </c>
      <c r="F1291" s="11" t="s">
        <v>4771</v>
      </c>
      <c r="G1291" s="12"/>
      <c r="H1291" s="12"/>
      <c r="I1291" s="13">
        <v>0</v>
      </c>
      <c r="J1291" s="13">
        <v>0</v>
      </c>
      <c r="K1291" s="14" t="str">
        <f>HYPERLINK("http://www.facebook.com/twitter","Facebook")</f>
        <v>Facebook</v>
      </c>
      <c r="L1291" s="13">
        <v>669</v>
      </c>
      <c r="M1291" s="13">
        <v>1284</v>
      </c>
      <c r="N1291" s="13">
        <v>6</v>
      </c>
      <c r="O1291" s="15"/>
      <c r="P1291" s="6">
        <v>41124.630324074074</v>
      </c>
      <c r="Q1291" s="12"/>
      <c r="R1291" s="19"/>
      <c r="S1291" s="11" t="s">
        <v>4772</v>
      </c>
      <c r="T1291" s="12"/>
      <c r="U1291" s="10" t="str">
        <f>HYPERLINK("https://pbs.twimg.com/profile_images/423493909616930816/JAur6fPs.png","View")</f>
        <v>View</v>
      </c>
    </row>
    <row r="1292" spans="1:21" ht="30.6">
      <c r="A1292" s="6">
        <v>43441.463252314818</v>
      </c>
      <c r="B1292" s="7" t="str">
        <f>HYPERLINK("https://twitter.com/TeresaColl1","@TeresaColl1")</f>
        <v>@TeresaColl1</v>
      </c>
      <c r="C1292" s="8" t="s">
        <v>4773</v>
      </c>
      <c r="D1292" s="9" t="s">
        <v>4774</v>
      </c>
      <c r="E1292" s="10" t="str">
        <f>HYPERLINK("https://twitter.com/TeresaColl1/status/1070983024785965056","1070983024785965056")</f>
        <v>1070983024785965056</v>
      </c>
      <c r="F1292" s="11" t="s">
        <v>246</v>
      </c>
      <c r="G1292" s="12"/>
      <c r="H1292" s="12"/>
      <c r="I1292" s="13">
        <v>5</v>
      </c>
      <c r="J1292" s="13">
        <v>4</v>
      </c>
      <c r="K1292" s="14" t="str">
        <f>HYPERLINK("http://twitter.com/download/android","Twitter for Android")</f>
        <v>Twitter for Android</v>
      </c>
      <c r="L1292" s="13">
        <v>4363</v>
      </c>
      <c r="M1292" s="13">
        <v>4291</v>
      </c>
      <c r="N1292" s="13">
        <v>36</v>
      </c>
      <c r="O1292" s="15"/>
      <c r="P1292" s="6">
        <v>41194.822488425925</v>
      </c>
      <c r="Q1292" s="16" t="s">
        <v>175</v>
      </c>
      <c r="R1292" s="17" t="s">
        <v>4775</v>
      </c>
      <c r="S1292" s="12"/>
      <c r="T1292" s="12"/>
      <c r="U1292" s="10" t="str">
        <f>HYPERLINK("https://pbs.twimg.com/profile_images/457537422218117120/Pa6k7rsP.png","View")</f>
        <v>View</v>
      </c>
    </row>
    <row r="1293" spans="1:21" ht="20.399999999999999">
      <c r="A1293" s="6">
        <v>43441.462997685187</v>
      </c>
      <c r="B1293" s="7" t="str">
        <f>HYPERLINK("https://twitter.com/copiajuridica","@copiajuridica")</f>
        <v>@copiajuridica</v>
      </c>
      <c r="C1293" s="8" t="s">
        <v>1339</v>
      </c>
      <c r="D1293" s="9" t="s">
        <v>4776</v>
      </c>
      <c r="E1293" s="10" t="str">
        <f>HYPERLINK("https://twitter.com/copiajuridica/status/1070982932448374784","1070982932448374784")</f>
        <v>1070982932448374784</v>
      </c>
      <c r="F1293" s="11" t="s">
        <v>4777</v>
      </c>
      <c r="G1293" s="12"/>
      <c r="H1293" s="12"/>
      <c r="I1293" s="13">
        <v>0</v>
      </c>
      <c r="J1293" s="13">
        <v>0</v>
      </c>
      <c r="K1293" s="14" t="str">
        <f>HYPERLINK("http://www.facebook.com/twitter","Facebook")</f>
        <v>Facebook</v>
      </c>
      <c r="L1293" s="13">
        <v>74</v>
      </c>
      <c r="M1293" s="13">
        <v>272</v>
      </c>
      <c r="N1293" s="13">
        <v>1</v>
      </c>
      <c r="O1293" s="15"/>
      <c r="P1293" s="6">
        <v>42088.346412037034</v>
      </c>
      <c r="Q1293" s="12"/>
      <c r="R1293" s="19"/>
      <c r="S1293" s="11" t="s">
        <v>1342</v>
      </c>
      <c r="T1293" s="12"/>
      <c r="U1293" s="10" t="str">
        <f>HYPERLINK("https://pbs.twimg.com/profile_images/712509718355423234/-G-stV8w.jpg","View")</f>
        <v>View</v>
      </c>
    </row>
    <row r="1294" spans="1:21" ht="20.399999999999999">
      <c r="A1294" s="6">
        <v>43441.462685185186</v>
      </c>
      <c r="B1294" s="7" t="str">
        <f>HYPERLINK("https://twitter.com/Cupcakes_News","@Cupcakes_News")</f>
        <v>@Cupcakes_News</v>
      </c>
      <c r="C1294" s="8" t="s">
        <v>3248</v>
      </c>
      <c r="D1294" s="9" t="s">
        <v>3001</v>
      </c>
      <c r="E1294" s="10" t="str">
        <f>HYPERLINK("https://twitter.com/Cupcakes_News/status/1070982818904399872","1070982818904399872")</f>
        <v>1070982818904399872</v>
      </c>
      <c r="F1294" s="11" t="s">
        <v>3688</v>
      </c>
      <c r="G1294" s="11" t="s">
        <v>4778</v>
      </c>
      <c r="H1294" s="12"/>
      <c r="I1294" s="13">
        <v>0</v>
      </c>
      <c r="J1294" s="13">
        <v>0</v>
      </c>
      <c r="K1294" s="14" t="str">
        <f>HYPERLINK("http://epmundo.com","Tuiteo TOP EP (3)")</f>
        <v>Tuiteo TOP EP (3)</v>
      </c>
      <c r="L1294" s="13">
        <v>44509</v>
      </c>
      <c r="M1294" s="13">
        <v>45277</v>
      </c>
      <c r="N1294" s="13">
        <v>120</v>
      </c>
      <c r="O1294" s="15"/>
      <c r="P1294" s="6">
        <v>42165.118518518517</v>
      </c>
      <c r="Q1294" s="12"/>
      <c r="R1294" s="17" t="s">
        <v>3250</v>
      </c>
      <c r="S1294" s="12"/>
      <c r="T1294" s="12"/>
      <c r="U1294" s="10" t="str">
        <f>HYPERLINK("https://pbs.twimg.com/profile_images/913075190007025665/Ia12CA8o.jpg","View")</f>
        <v>View</v>
      </c>
    </row>
    <row r="1295" spans="1:21" ht="20.399999999999999">
      <c r="A1295" s="6">
        <v>43441.461840277778</v>
      </c>
      <c r="B1295" s="7" t="str">
        <f>HYPERLINK("https://twitter.com/eldiarionortena","@eldiarionortena")</f>
        <v>@eldiarionortena</v>
      </c>
      <c r="C1295" s="8" t="s">
        <v>4779</v>
      </c>
      <c r="D1295" s="9" t="s">
        <v>2521</v>
      </c>
      <c r="E1295" s="10" t="str">
        <f>HYPERLINK("https://twitter.com/eldiarionortena/status/1070982514116845568","1070982514116845568")</f>
        <v>1070982514116845568</v>
      </c>
      <c r="F1295" s="11" t="s">
        <v>4780</v>
      </c>
      <c r="G1295" s="11" t="s">
        <v>4781</v>
      </c>
      <c r="H1295" s="12"/>
      <c r="I1295" s="13">
        <v>0</v>
      </c>
      <c r="J1295" s="13">
        <v>0</v>
      </c>
      <c r="K1295" s="14" t="str">
        <f>HYPERLINK("https://www.hootsuite.com","Hootsuite Inc.")</f>
        <v>Hootsuite Inc.</v>
      </c>
      <c r="L1295" s="13">
        <v>2152</v>
      </c>
      <c r="M1295" s="13">
        <v>174</v>
      </c>
      <c r="N1295" s="13">
        <v>67</v>
      </c>
      <c r="O1295" s="15"/>
      <c r="P1295" s="6">
        <v>41745.735289351855</v>
      </c>
      <c r="Q1295" s="12"/>
      <c r="R1295" s="17" t="s">
        <v>4782</v>
      </c>
      <c r="S1295" s="12"/>
      <c r="T1295" s="12"/>
      <c r="U1295" s="10" t="str">
        <f>HYPERLINK("https://pbs.twimg.com/profile_images/1047084360107773958/awbnVRBI.jpg","View")</f>
        <v>View</v>
      </c>
    </row>
    <row r="1296" spans="1:21" ht="51">
      <c r="A1296" s="6">
        <v>43441.461805555555</v>
      </c>
      <c r="B1296" s="7" t="str">
        <f>HYPERLINK("https://twitter.com/caval100","@caval100")</f>
        <v>@caval100</v>
      </c>
      <c r="C1296" s="8" t="s">
        <v>501</v>
      </c>
      <c r="D1296" s="9" t="s">
        <v>4783</v>
      </c>
      <c r="E1296" s="10" t="str">
        <f>HYPERLINK("https://twitter.com/caval100/status/1070982499361320960","1070982499361320960")</f>
        <v>1070982499361320960</v>
      </c>
      <c r="F1296" s="11" t="s">
        <v>4784</v>
      </c>
      <c r="G1296" s="12"/>
      <c r="H1296" s="12"/>
      <c r="I1296" s="13">
        <v>5</v>
      </c>
      <c r="J1296" s="13">
        <v>0</v>
      </c>
      <c r="K1296" s="14" t="str">
        <f>HYPERLINK("https://about.twitter.com/products/tweetdeck","TweetDeck")</f>
        <v>TweetDeck</v>
      </c>
      <c r="L1296" s="13">
        <v>119343</v>
      </c>
      <c r="M1296" s="13">
        <v>94000</v>
      </c>
      <c r="N1296" s="13">
        <v>982</v>
      </c>
      <c r="O1296" s="15"/>
      <c r="P1296" s="6">
        <v>40079.437094907407</v>
      </c>
      <c r="Q1296" s="16" t="s">
        <v>505</v>
      </c>
      <c r="R1296" s="17" t="s">
        <v>506</v>
      </c>
      <c r="S1296" s="11" t="s">
        <v>507</v>
      </c>
      <c r="T1296" s="12"/>
      <c r="U1296" s="10" t="str">
        <f>HYPERLINK("https://pbs.twimg.com/profile_images/965350678301429760/uvGI7g8U.jpg","View")</f>
        <v>View</v>
      </c>
    </row>
    <row r="1297" spans="1:21" ht="30.6">
      <c r="A1297" s="6">
        <v>43441.461759259255</v>
      </c>
      <c r="B1297" s="7" t="str">
        <f>HYPERLINK("https://twitter.com/rociogarcia2017","@rociogarcia2017")</f>
        <v>@rociogarcia2017</v>
      </c>
      <c r="C1297" s="8" t="s">
        <v>4785</v>
      </c>
      <c r="D1297" s="9" t="s">
        <v>3897</v>
      </c>
      <c r="E1297" s="10" t="str">
        <f>HYPERLINK("https://twitter.com/rociogarcia2017/status/1070982483490021376","1070982483490021376")</f>
        <v>1070982483490021376</v>
      </c>
      <c r="F1297" s="11" t="s">
        <v>4786</v>
      </c>
      <c r="G1297" s="12"/>
      <c r="H1297" s="12"/>
      <c r="I1297" s="13">
        <v>0</v>
      </c>
      <c r="J1297" s="13">
        <v>0</v>
      </c>
      <c r="K1297" s="14" t="str">
        <f>HYPERLINK("http://twitter.com/download/android","Twitter for Android")</f>
        <v>Twitter for Android</v>
      </c>
      <c r="L1297" s="13">
        <v>625</v>
      </c>
      <c r="M1297" s="13">
        <v>30</v>
      </c>
      <c r="N1297" s="13">
        <v>23</v>
      </c>
      <c r="O1297" s="15"/>
      <c r="P1297" s="6">
        <v>41729.362951388888</v>
      </c>
      <c r="Q1297" s="16" t="s">
        <v>60</v>
      </c>
      <c r="R1297" s="17" t="s">
        <v>4787</v>
      </c>
      <c r="S1297" s="12"/>
      <c r="T1297" s="12"/>
      <c r="U1297" s="10" t="str">
        <f>HYPERLINK("https://pbs.twimg.com/profile_images/985180027061985282/tGCWYGZ_.jpg","View")</f>
        <v>View</v>
      </c>
    </row>
    <row r="1298" spans="1:21" ht="30.6">
      <c r="A1298" s="6">
        <v>43441.461597222224</v>
      </c>
      <c r="B1298" s="7" t="str">
        <f>HYPERLINK("https://twitter.com/jc_karnak23","@jc_karnak23")</f>
        <v>@jc_karnak23</v>
      </c>
      <c r="C1298" s="8" t="s">
        <v>4695</v>
      </c>
      <c r="D1298" s="9" t="s">
        <v>4788</v>
      </c>
      <c r="E1298" s="10" t="str">
        <f>HYPERLINK("https://twitter.com/jc_karnak23/status/1070982424442609664","1070982424442609664")</f>
        <v>1070982424442609664</v>
      </c>
      <c r="F1298" s="11" t="s">
        <v>4789</v>
      </c>
      <c r="G1298" s="12"/>
      <c r="H1298" s="12"/>
      <c r="I1298" s="13">
        <v>0</v>
      </c>
      <c r="J1298" s="13">
        <v>0</v>
      </c>
      <c r="K1298" s="14" t="str">
        <f t="shared" ref="K1298:K1299" si="215">HYPERLINK("http://twitter.com","Twitter Web Client")</f>
        <v>Twitter Web Client</v>
      </c>
      <c r="L1298" s="13">
        <v>2812</v>
      </c>
      <c r="M1298" s="13">
        <v>2823</v>
      </c>
      <c r="N1298" s="13">
        <v>33</v>
      </c>
      <c r="O1298" s="15"/>
      <c r="P1298" s="6">
        <v>41344.410902777774</v>
      </c>
      <c r="Q1298" s="16" t="s">
        <v>4698</v>
      </c>
      <c r="R1298" s="17" t="s">
        <v>4699</v>
      </c>
      <c r="S1298" s="12"/>
      <c r="T1298" s="12"/>
      <c r="U1298" s="10" t="str">
        <f>HYPERLINK("https://pbs.twimg.com/profile_images/378800000791829812/b1c03852c594214bb9fbd4c8b553b4f9.jpeg","View")</f>
        <v>View</v>
      </c>
    </row>
    <row r="1299" spans="1:21" ht="13.2">
      <c r="A1299" s="6">
        <v>43441.461030092592</v>
      </c>
      <c r="B1299" s="7" t="str">
        <f>HYPERLINK("https://twitter.com/CucalaMir","@CucalaMir")</f>
        <v>@CucalaMir</v>
      </c>
      <c r="C1299" s="8" t="s">
        <v>4790</v>
      </c>
      <c r="D1299" s="9" t="s">
        <v>4791</v>
      </c>
      <c r="E1299" s="10" t="str">
        <f>HYPERLINK("https://twitter.com/CucalaMir/status/1070982217889923072","1070982217889923072")</f>
        <v>1070982217889923072</v>
      </c>
      <c r="F1299" s="12"/>
      <c r="G1299" s="11" t="s">
        <v>4792</v>
      </c>
      <c r="H1299" s="12"/>
      <c r="I1299" s="13">
        <v>2</v>
      </c>
      <c r="J1299" s="13">
        <v>1</v>
      </c>
      <c r="K1299" s="14" t="str">
        <f t="shared" si="215"/>
        <v>Twitter Web Client</v>
      </c>
      <c r="L1299" s="13">
        <v>1036</v>
      </c>
      <c r="M1299" s="13">
        <v>2946</v>
      </c>
      <c r="N1299" s="13">
        <v>3</v>
      </c>
      <c r="O1299" s="15"/>
      <c r="P1299" s="6">
        <v>43395.529270833329</v>
      </c>
      <c r="Q1299" s="12"/>
      <c r="R1299" s="19"/>
      <c r="S1299" s="12"/>
      <c r="T1299" s="12"/>
      <c r="U1299" s="10" t="str">
        <f>HYPERLINK("https://pbs.twimg.com/profile_images/1066303942265585664/xjkdppxk.jpg","View")</f>
        <v>View</v>
      </c>
    </row>
    <row r="1300" spans="1:21" ht="51">
      <c r="A1300" s="6">
        <v>43441.460717592592</v>
      </c>
      <c r="B1300" s="7" t="str">
        <f>HYPERLINK("https://twitter.com/catiberic","@catiberic")</f>
        <v>@catiberic</v>
      </c>
      <c r="C1300" s="8" t="s">
        <v>4793</v>
      </c>
      <c r="D1300" s="9" t="s">
        <v>4794</v>
      </c>
      <c r="E1300" s="10" t="str">
        <f>HYPERLINK("https://twitter.com/catiberic/status/1070982106631847937","1070982106631847937")</f>
        <v>1070982106631847937</v>
      </c>
      <c r="F1300" s="11" t="s">
        <v>4795</v>
      </c>
      <c r="G1300" s="12"/>
      <c r="H1300" s="12"/>
      <c r="I1300" s="13">
        <v>2</v>
      </c>
      <c r="J1300" s="13">
        <v>0</v>
      </c>
      <c r="K1300" s="14" t="str">
        <f t="shared" ref="K1300:K1301" si="216">HYPERLINK("http://twitter.com/download/android","Twitter for Android")</f>
        <v>Twitter for Android</v>
      </c>
      <c r="L1300" s="13">
        <v>556</v>
      </c>
      <c r="M1300" s="13">
        <v>656</v>
      </c>
      <c r="N1300" s="13">
        <v>1</v>
      </c>
      <c r="O1300" s="15"/>
      <c r="P1300" s="6">
        <v>43107.03225694444</v>
      </c>
      <c r="Q1300" s="12"/>
      <c r="R1300" s="17" t="s">
        <v>4796</v>
      </c>
      <c r="S1300" s="12"/>
      <c r="T1300" s="12"/>
      <c r="U1300" s="10" t="str">
        <f>HYPERLINK("https://pbs.twimg.com/profile_images/1041018260823728128/OoNgFG9b.jpg","View")</f>
        <v>View</v>
      </c>
    </row>
    <row r="1301" spans="1:21" ht="13.2">
      <c r="A1301" s="6">
        <v>43441.460555555561</v>
      </c>
      <c r="B1301" s="7" t="str">
        <f>HYPERLINK("https://twitter.com/PENADOMI","@PENADOMI")</f>
        <v>@PENADOMI</v>
      </c>
      <c r="C1301" s="8" t="s">
        <v>4797</v>
      </c>
      <c r="D1301" s="9" t="s">
        <v>4798</v>
      </c>
      <c r="E1301" s="10" t="str">
        <f>HYPERLINK("https://twitter.com/PENADOMI/status/1070982046116446209","1070982046116446209")</f>
        <v>1070982046116446209</v>
      </c>
      <c r="F1301" s="11" t="s">
        <v>4799</v>
      </c>
      <c r="G1301" s="12"/>
      <c r="H1301" s="12"/>
      <c r="I1301" s="13">
        <v>6</v>
      </c>
      <c r="J1301" s="13">
        <v>7</v>
      </c>
      <c r="K1301" s="14" t="str">
        <f t="shared" si="216"/>
        <v>Twitter for Android</v>
      </c>
      <c r="L1301" s="13">
        <v>404</v>
      </c>
      <c r="M1301" s="13">
        <v>775</v>
      </c>
      <c r="N1301" s="13">
        <v>1</v>
      </c>
      <c r="O1301" s="15"/>
      <c r="P1301" s="6">
        <v>40581.556134259255</v>
      </c>
      <c r="Q1301" s="12"/>
      <c r="R1301" s="19"/>
      <c r="S1301" s="12"/>
      <c r="T1301" s="12"/>
      <c r="U1301" s="10" t="str">
        <f>HYPERLINK("https://pbs.twimg.com/profile_images/927482087845908481/ll0wv9lk.jpg","View")</f>
        <v>View</v>
      </c>
    </row>
    <row r="1302" spans="1:21" ht="81.599999999999994">
      <c r="A1302" s="6">
        <v>43441.460335648153</v>
      </c>
      <c r="B1302" s="7" t="str">
        <f>HYPERLINK("https://twitter.com/AveriadosAve","@AveriadosAve")</f>
        <v>@AveriadosAve</v>
      </c>
      <c r="C1302" s="8" t="s">
        <v>4800</v>
      </c>
      <c r="D1302" s="9" t="s">
        <v>4801</v>
      </c>
      <c r="E1302" s="10" t="str">
        <f>HYPERLINK("https://twitter.com/AveriadosAve/status/1070981968878321664","1070981968878321664")</f>
        <v>1070981968878321664</v>
      </c>
      <c r="F1302" s="11" t="s">
        <v>54</v>
      </c>
      <c r="G1302" s="11" t="s">
        <v>55</v>
      </c>
      <c r="H1302" s="12"/>
      <c r="I1302" s="13">
        <v>0</v>
      </c>
      <c r="J1302" s="13">
        <v>0</v>
      </c>
      <c r="K1302" s="14" t="str">
        <f t="shared" ref="K1302:K1303" si="217">HYPERLINK("http://twitter.com","Twitter Web Client")</f>
        <v>Twitter Web Client</v>
      </c>
      <c r="L1302" s="13">
        <v>1076</v>
      </c>
      <c r="M1302" s="13">
        <v>1242</v>
      </c>
      <c r="N1302" s="13">
        <v>5</v>
      </c>
      <c r="O1302" s="15"/>
      <c r="P1302" s="6">
        <v>42026.972129629634</v>
      </c>
      <c r="Q1302" s="12"/>
      <c r="R1302" s="17" t="s">
        <v>4802</v>
      </c>
      <c r="S1302" s="12"/>
      <c r="T1302" s="12"/>
      <c r="U1302" s="10" t="str">
        <f>HYPERLINK("https://pbs.twimg.com/profile_images/914981862933753862/00Zo8Rx6.jpg","View")</f>
        <v>View</v>
      </c>
    </row>
    <row r="1303" spans="1:21" ht="81.599999999999994">
      <c r="A1303" s="6">
        <v>43441.45988425926</v>
      </c>
      <c r="B1303" s="7" t="str">
        <f>HYPERLINK("https://twitter.com/DaniAlvarezEiTB","@DaniAlvarezEiTB")</f>
        <v>@DaniAlvarezEiTB</v>
      </c>
      <c r="C1303" s="8" t="s">
        <v>4803</v>
      </c>
      <c r="D1303" s="9" t="s">
        <v>4804</v>
      </c>
      <c r="E1303" s="10" t="str">
        <f>HYPERLINK("https://twitter.com/DaniAlvarezEiTB/status/1070981804373540864","1070981804373540864")</f>
        <v>1070981804373540864</v>
      </c>
      <c r="F1303" s="16" t="s">
        <v>4805</v>
      </c>
      <c r="G1303" s="11" t="s">
        <v>4806</v>
      </c>
      <c r="H1303" s="12"/>
      <c r="I1303" s="13">
        <v>1</v>
      </c>
      <c r="J1303" s="13">
        <v>2</v>
      </c>
      <c r="K1303" s="14" t="str">
        <f t="shared" si="217"/>
        <v>Twitter Web Client</v>
      </c>
      <c r="L1303" s="13">
        <v>7127</v>
      </c>
      <c r="M1303" s="13">
        <v>490</v>
      </c>
      <c r="N1303" s="13">
        <v>104</v>
      </c>
      <c r="O1303" s="15"/>
      <c r="P1303" s="6">
        <v>40865.572071759263</v>
      </c>
      <c r="Q1303" s="16" t="s">
        <v>2527</v>
      </c>
      <c r="R1303" s="17" t="s">
        <v>4807</v>
      </c>
      <c r="S1303" s="11" t="s">
        <v>4808</v>
      </c>
      <c r="T1303" s="12"/>
      <c r="U1303" s="10" t="str">
        <f>HYPERLINK("https://pbs.twimg.com/profile_images/1045403537012740096/25Yxsmh0.jpg","View")</f>
        <v>View</v>
      </c>
    </row>
    <row r="1304" spans="1:21" ht="40.799999999999997">
      <c r="A1304" s="6">
        <v>43441.459108796298</v>
      </c>
      <c r="B1304" s="7" t="str">
        <f>HYPERLINK("https://twitter.com/explositwo","@explositwo")</f>
        <v>@explositwo</v>
      </c>
      <c r="C1304" s="8" t="s">
        <v>4809</v>
      </c>
      <c r="D1304" s="9" t="s">
        <v>4810</v>
      </c>
      <c r="E1304" s="10" t="str">
        <f>HYPERLINK("https://twitter.com/explositwo/status/1070981524139507712","1070981524139507712")</f>
        <v>1070981524139507712</v>
      </c>
      <c r="F1304" s="11" t="s">
        <v>4811</v>
      </c>
      <c r="G1304" s="12"/>
      <c r="H1304" s="12"/>
      <c r="I1304" s="13">
        <v>0</v>
      </c>
      <c r="J1304" s="13">
        <v>0</v>
      </c>
      <c r="K1304" s="14" t="str">
        <f>HYPERLINK("http://www.facebook.com/twitter","Facebook")</f>
        <v>Facebook</v>
      </c>
      <c r="L1304" s="13">
        <v>170</v>
      </c>
      <c r="M1304" s="13">
        <v>318</v>
      </c>
      <c r="N1304" s="13">
        <v>2</v>
      </c>
      <c r="O1304" s="15"/>
      <c r="P1304" s="6">
        <v>40554.973298611112</v>
      </c>
      <c r="Q1304" s="16" t="s">
        <v>519</v>
      </c>
      <c r="R1304" s="17" t="s">
        <v>4812</v>
      </c>
      <c r="S1304" s="11" t="s">
        <v>4813</v>
      </c>
      <c r="T1304" s="12"/>
      <c r="U1304" s="10" t="str">
        <f>HYPERLINK("https://pbs.twimg.com/profile_images/658877634848366592/wrEkA3Jj.jpg","View")</f>
        <v>View</v>
      </c>
    </row>
    <row r="1305" spans="1:21" ht="30.6">
      <c r="A1305" s="6">
        <v>43441.458252314813</v>
      </c>
      <c r="B1305" s="7" t="str">
        <f>HYPERLINK("https://twitter.com/pallaron12","@pallaron12")</f>
        <v>@pallaron12</v>
      </c>
      <c r="C1305" s="8" t="s">
        <v>1692</v>
      </c>
      <c r="D1305" s="9" t="s">
        <v>4814</v>
      </c>
      <c r="E1305" s="10" t="str">
        <f>HYPERLINK("https://twitter.com/pallaron12/status/1070981212364263424","1070981212364263424")</f>
        <v>1070981212364263424</v>
      </c>
      <c r="F1305" s="11" t="s">
        <v>4815</v>
      </c>
      <c r="G1305" s="12"/>
      <c r="H1305" s="12"/>
      <c r="I1305" s="13">
        <v>0</v>
      </c>
      <c r="J1305" s="13">
        <v>0</v>
      </c>
      <c r="K1305" s="14" t="str">
        <f>HYPERLINK("http://twitter.com/download/android","Twitter for Android")</f>
        <v>Twitter for Android</v>
      </c>
      <c r="L1305" s="13">
        <v>1481</v>
      </c>
      <c r="M1305" s="13">
        <v>551</v>
      </c>
      <c r="N1305" s="13">
        <v>8</v>
      </c>
      <c r="O1305" s="15"/>
      <c r="P1305" s="6">
        <v>41854.66134259259</v>
      </c>
      <c r="Q1305" s="16" t="s">
        <v>1693</v>
      </c>
      <c r="R1305" s="17" t="s">
        <v>1694</v>
      </c>
      <c r="S1305" s="12"/>
      <c r="T1305" s="12"/>
      <c r="U1305" s="10" t="str">
        <f>HYPERLINK("https://pbs.twimg.com/profile_images/1064713832633896961/NkwZ7D9D.jpg","View")</f>
        <v>View</v>
      </c>
    </row>
    <row r="1306" spans="1:21" ht="102">
      <c r="A1306" s="6">
        <v>43441.45821759259</v>
      </c>
      <c r="B1306" s="7" t="str">
        <f>HYPERLINK("https://twitter.com/jpenflo","@jpenflo")</f>
        <v>@jpenflo</v>
      </c>
      <c r="C1306" s="8" t="s">
        <v>4816</v>
      </c>
      <c r="D1306" s="9" t="s">
        <v>4817</v>
      </c>
      <c r="E1306" s="10" t="str">
        <f>HYPERLINK("https://twitter.com/jpenflo/status/1070981199319969793","1070981199319969793")</f>
        <v>1070981199319969793</v>
      </c>
      <c r="F1306" s="11" t="s">
        <v>54</v>
      </c>
      <c r="G1306" s="11" t="s">
        <v>55</v>
      </c>
      <c r="H1306" s="12"/>
      <c r="I1306" s="13">
        <v>0</v>
      </c>
      <c r="J1306" s="13">
        <v>0</v>
      </c>
      <c r="K1306" s="14" t="str">
        <f>HYPERLINK("http://twitter.com/#!/download/ipad","Twitter for iPad")</f>
        <v>Twitter for iPad</v>
      </c>
      <c r="L1306" s="13">
        <v>87</v>
      </c>
      <c r="M1306" s="13">
        <v>217</v>
      </c>
      <c r="N1306" s="13">
        <v>0</v>
      </c>
      <c r="O1306" s="15"/>
      <c r="P1306" s="6">
        <v>41693.480983796297</v>
      </c>
      <c r="Q1306" s="12"/>
      <c r="R1306" s="19"/>
      <c r="S1306" s="12"/>
      <c r="T1306" s="12"/>
      <c r="U1306" s="10" t="str">
        <f>HYPERLINK("https://pbs.twimg.com/profile_images/1044547768805666817/EMIEHkXU.jpg","View")</f>
        <v>View</v>
      </c>
    </row>
    <row r="1307" spans="1:21" ht="20.399999999999999">
      <c r="A1307" s="6">
        <v>43441.458182870367</v>
      </c>
      <c r="B1307" s="7" t="str">
        <f>HYPERLINK("https://twitter.com/SomosLZ","@SomosLZ")</f>
        <v>@SomosLZ</v>
      </c>
      <c r="C1307" s="8" t="s">
        <v>4818</v>
      </c>
      <c r="D1307" s="9" t="s">
        <v>4819</v>
      </c>
      <c r="E1307" s="10" t="str">
        <f>HYPERLINK("https://twitter.com/SomosLZ/status/1070981185558405120","1070981185558405120")</f>
        <v>1070981185558405120</v>
      </c>
      <c r="F1307" s="11" t="s">
        <v>4820</v>
      </c>
      <c r="G1307" s="12"/>
      <c r="H1307" s="12"/>
      <c r="I1307" s="13">
        <v>0</v>
      </c>
      <c r="J1307" s="13">
        <v>0</v>
      </c>
      <c r="K1307" s="14" t="str">
        <f>HYPERLINK("https://dlvrit.com/","dlvr.it")</f>
        <v>dlvr.it</v>
      </c>
      <c r="L1307" s="13">
        <v>1147</v>
      </c>
      <c r="M1307" s="13">
        <v>482</v>
      </c>
      <c r="N1307" s="13">
        <v>1</v>
      </c>
      <c r="O1307" s="15"/>
      <c r="P1307" s="6">
        <v>42488.493993055556</v>
      </c>
      <c r="Q1307" s="16" t="s">
        <v>4821</v>
      </c>
      <c r="R1307" s="17" t="s">
        <v>4822</v>
      </c>
      <c r="S1307" s="12"/>
      <c r="T1307" s="12"/>
      <c r="U1307" s="10" t="str">
        <f>HYPERLINK("https://pbs.twimg.com/profile_images/727520601745817600/yVcW_ivc.jpg","View")</f>
        <v>View</v>
      </c>
    </row>
    <row r="1308" spans="1:21" ht="30.6">
      <c r="A1308" s="6">
        <v>43441.458136574074</v>
      </c>
      <c r="B1308" s="7" t="str">
        <f>HYPERLINK("https://twitter.com/LinaresTv","@LinaresTv")</f>
        <v>@LinaresTv</v>
      </c>
      <c r="C1308" s="8" t="s">
        <v>4823</v>
      </c>
      <c r="D1308" s="9" t="s">
        <v>4824</v>
      </c>
      <c r="E1308" s="10" t="str">
        <f>HYPERLINK("https://twitter.com/LinaresTv/status/1070981169183948800","1070981169183948800")</f>
        <v>1070981169183948800</v>
      </c>
      <c r="F1308" s="12"/>
      <c r="G1308" s="11" t="s">
        <v>4825</v>
      </c>
      <c r="H1308" s="12"/>
      <c r="I1308" s="13">
        <v>9</v>
      </c>
      <c r="J1308" s="13">
        <v>11</v>
      </c>
      <c r="K1308" s="14" t="str">
        <f t="shared" ref="K1308:K1309" si="218">HYPERLINK("http://twitter.com","Twitter Web Client")</f>
        <v>Twitter Web Client</v>
      </c>
      <c r="L1308" s="13">
        <v>2981</v>
      </c>
      <c r="M1308" s="13">
        <v>570</v>
      </c>
      <c r="N1308" s="13">
        <v>12</v>
      </c>
      <c r="O1308" s="15"/>
      <c r="P1308" s="6">
        <v>41274.69368055556</v>
      </c>
      <c r="Q1308" s="16" t="s">
        <v>4826</v>
      </c>
      <c r="R1308" s="19"/>
      <c r="S1308" s="11" t="s">
        <v>4827</v>
      </c>
      <c r="T1308" s="12"/>
      <c r="U1308" s="10" t="str">
        <f>HYPERLINK("https://pbs.twimg.com/profile_images/3046477435/5154eb27f41fc81bf9eb5118d99dc133.jpeg","View")</f>
        <v>View</v>
      </c>
    </row>
    <row r="1309" spans="1:21" ht="40.799999999999997">
      <c r="A1309" s="6">
        <v>43441.456203703703</v>
      </c>
      <c r="B1309" s="7" t="str">
        <f>HYPERLINK("https://twitter.com/canalls77","@canalls77")</f>
        <v>@canalls77</v>
      </c>
      <c r="C1309" s="8" t="s">
        <v>4828</v>
      </c>
      <c r="D1309" s="9" t="s">
        <v>4829</v>
      </c>
      <c r="E1309" s="10" t="str">
        <f>HYPERLINK("https://twitter.com/canalls77/status/1070980468538044416","1070980468538044416")</f>
        <v>1070980468538044416</v>
      </c>
      <c r="F1309" s="11" t="s">
        <v>4830</v>
      </c>
      <c r="G1309" s="12"/>
      <c r="H1309" s="12"/>
      <c r="I1309" s="13">
        <v>2</v>
      </c>
      <c r="J1309" s="13">
        <v>4</v>
      </c>
      <c r="K1309" s="14" t="str">
        <f t="shared" si="218"/>
        <v>Twitter Web Client</v>
      </c>
      <c r="L1309" s="13">
        <v>12753</v>
      </c>
      <c r="M1309" s="13">
        <v>8673</v>
      </c>
      <c r="N1309" s="13">
        <v>97</v>
      </c>
      <c r="O1309" s="15"/>
      <c r="P1309" s="6">
        <v>40594.57130787037</v>
      </c>
      <c r="Q1309" s="16" t="s">
        <v>4831</v>
      </c>
      <c r="R1309" s="17" t="s">
        <v>4832</v>
      </c>
      <c r="S1309" s="12"/>
      <c r="T1309" s="12"/>
      <c r="U1309" s="10" t="str">
        <f>HYPERLINK("https://pbs.twimg.com/profile_images/1070987418172575746/SXEGUNP5.jpg","View")</f>
        <v>View</v>
      </c>
    </row>
    <row r="1310" spans="1:21" ht="40.799999999999997">
      <c r="A1310" s="6">
        <v>43441.455497685187</v>
      </c>
      <c r="B1310" s="7" t="str">
        <f>HYPERLINK("https://twitter.com/natgarfer","@natgarfer")</f>
        <v>@natgarfer</v>
      </c>
      <c r="C1310" s="8" t="s">
        <v>4833</v>
      </c>
      <c r="D1310" s="9" t="s">
        <v>4834</v>
      </c>
      <c r="E1310" s="10" t="str">
        <f>HYPERLINK("https://twitter.com/natgarfer/status/1070980215193698304","1070980215193698304")</f>
        <v>1070980215193698304</v>
      </c>
      <c r="F1310" s="11" t="s">
        <v>4835</v>
      </c>
      <c r="G1310" s="12"/>
      <c r="H1310" s="12"/>
      <c r="I1310" s="13">
        <v>0</v>
      </c>
      <c r="J1310" s="13">
        <v>0</v>
      </c>
      <c r="K1310" s="14" t="str">
        <f>HYPERLINK("http://www.facebook.com/twitter","Facebook")</f>
        <v>Facebook</v>
      </c>
      <c r="L1310" s="13">
        <v>442</v>
      </c>
      <c r="M1310" s="13">
        <v>434</v>
      </c>
      <c r="N1310" s="13">
        <v>10</v>
      </c>
      <c r="O1310" s="15"/>
      <c r="P1310" s="6">
        <v>40467.831284722226</v>
      </c>
      <c r="Q1310" s="16" t="s">
        <v>228</v>
      </c>
      <c r="R1310" s="17" t="s">
        <v>4836</v>
      </c>
      <c r="S1310" s="12"/>
      <c r="T1310" s="12"/>
      <c r="U1310" s="10" t="str">
        <f>HYPERLINK("https://pbs.twimg.com/profile_images/1057096939282554880/DzaJYMW9.jpg","View")</f>
        <v>View</v>
      </c>
    </row>
    <row r="1311" spans="1:21" ht="40.799999999999997">
      <c r="A1311" s="6">
        <v>43441.455347222218</v>
      </c>
      <c r="B1311" s="7" t="str">
        <f>HYPERLINK("https://twitter.com/AnaDeCa36436634","@AnaDeCa36436634")</f>
        <v>@AnaDeCa36436634</v>
      </c>
      <c r="C1311" s="8" t="s">
        <v>4837</v>
      </c>
      <c r="D1311" s="9" t="s">
        <v>4838</v>
      </c>
      <c r="E1311" s="10" t="str">
        <f>HYPERLINK("https://twitter.com/AnaDeCa36436634/status/1070980157320630272","1070980157320630272")</f>
        <v>1070980157320630272</v>
      </c>
      <c r="F1311" s="12"/>
      <c r="G1311" s="11" t="s">
        <v>4839</v>
      </c>
      <c r="H1311" s="12"/>
      <c r="I1311" s="13">
        <v>2</v>
      </c>
      <c r="J1311" s="13">
        <v>0</v>
      </c>
      <c r="K1311" s="14" t="str">
        <f>HYPERLINK("http://twitter.com/download/android","Twitter for Android")</f>
        <v>Twitter for Android</v>
      </c>
      <c r="L1311" s="13">
        <v>400</v>
      </c>
      <c r="M1311" s="13">
        <v>423</v>
      </c>
      <c r="N1311" s="13">
        <v>2</v>
      </c>
      <c r="O1311" s="15"/>
      <c r="P1311" s="6">
        <v>43021.451678240745</v>
      </c>
      <c r="Q1311" s="16" t="s">
        <v>60</v>
      </c>
      <c r="R1311" s="17" t="s">
        <v>4840</v>
      </c>
      <c r="S1311" s="12"/>
      <c r="T1311" s="12"/>
      <c r="U1311" s="10" t="str">
        <f>HYPERLINK("https://pbs.twimg.com/profile_images/1027608449297866757/4eekJQ9b.jpg","View")</f>
        <v>View</v>
      </c>
    </row>
    <row r="1312" spans="1:21" ht="30.6">
      <c r="A1312" s="6">
        <v>43441.454548611116</v>
      </c>
      <c r="B1312" s="7" t="str">
        <f>HYPERLINK("https://twitter.com/MediterraneoDGT","@MediterraneoDGT")</f>
        <v>@MediterraneoDGT</v>
      </c>
      <c r="C1312" s="8" t="s">
        <v>4841</v>
      </c>
      <c r="D1312" s="9" t="s">
        <v>4842</v>
      </c>
      <c r="E1312" s="10" t="str">
        <f>HYPERLINK("https://twitter.com/MediterraneoDGT/status/1070979870040166400","1070979870040166400")</f>
        <v>1070979870040166400</v>
      </c>
      <c r="F1312" s="11" t="s">
        <v>576</v>
      </c>
      <c r="G1312" s="12"/>
      <c r="H1312" s="12"/>
      <c r="I1312" s="13">
        <v>108</v>
      </c>
      <c r="J1312" s="13">
        <v>116</v>
      </c>
      <c r="K1312" s="14" t="str">
        <f>HYPERLINK("http://twitter.com","Twitter Web Client")</f>
        <v>Twitter Web Client</v>
      </c>
      <c r="L1312" s="13">
        <v>46954</v>
      </c>
      <c r="M1312" s="13">
        <v>573</v>
      </c>
      <c r="N1312" s="13">
        <v>427</v>
      </c>
      <c r="O1312" s="18" t="s">
        <v>41</v>
      </c>
      <c r="P1312" s="6">
        <v>40460.786620370374</v>
      </c>
      <c r="Q1312" s="16" t="s">
        <v>60</v>
      </c>
      <c r="R1312" s="17" t="s">
        <v>4843</v>
      </c>
      <c r="S1312" s="11" t="s">
        <v>4844</v>
      </c>
      <c r="T1312" s="12"/>
      <c r="U1312" s="10" t="str">
        <f>HYPERLINK("https://pbs.twimg.com/profile_images/756475645941673984/TNBJ4frX.jpg","View")</f>
        <v>View</v>
      </c>
    </row>
    <row r="1313" spans="1:21" ht="51">
      <c r="A1313" s="6">
        <v>43441.453368055554</v>
      </c>
      <c r="B1313" s="7" t="str">
        <f>HYPERLINK("https://twitter.com/TODOSPORLINARES","@TODOSPORLINARES")</f>
        <v>@TODOSPORLINARES</v>
      </c>
      <c r="C1313" s="8" t="s">
        <v>4845</v>
      </c>
      <c r="D1313" s="9" t="s">
        <v>4846</v>
      </c>
      <c r="E1313" s="10" t="str">
        <f>HYPERLINK("https://twitter.com/TODOSPORLINARES/status/1070979440300187653","1070979440300187653")</f>
        <v>1070979440300187653</v>
      </c>
      <c r="F1313" s="12"/>
      <c r="G1313" s="12"/>
      <c r="H1313" s="12"/>
      <c r="I1313" s="13">
        <v>14</v>
      </c>
      <c r="J1313" s="13">
        <v>25</v>
      </c>
      <c r="K1313" s="14" t="str">
        <f t="shared" ref="K1313:K1314" si="219">HYPERLINK("http://twitter.com/download/iphone","Twitter for iPhone")</f>
        <v>Twitter for iPhone</v>
      </c>
      <c r="L1313" s="13">
        <v>1670</v>
      </c>
      <c r="M1313" s="13">
        <v>269</v>
      </c>
      <c r="N1313" s="13">
        <v>6</v>
      </c>
      <c r="O1313" s="15"/>
      <c r="P1313" s="6">
        <v>42941.534687499996</v>
      </c>
      <c r="Q1313" s="16" t="s">
        <v>3253</v>
      </c>
      <c r="R1313" s="17" t="s">
        <v>4847</v>
      </c>
      <c r="S1313" s="11" t="s">
        <v>4848</v>
      </c>
      <c r="T1313" s="12"/>
      <c r="U1313" s="10" t="str">
        <f>HYPERLINK("https://pbs.twimg.com/profile_images/1049310453527191553/BGPWoq7O.jpg","View")</f>
        <v>View</v>
      </c>
    </row>
    <row r="1314" spans="1:21" ht="40.799999999999997">
      <c r="A1314" s="6">
        <v>43441.451689814814</v>
      </c>
      <c r="B1314" s="7" t="str">
        <f>HYPERLINK("https://twitter.com/waleska0328","@waleska0328")</f>
        <v>@waleska0328</v>
      </c>
      <c r="C1314" s="8" t="s">
        <v>4849</v>
      </c>
      <c r="D1314" s="9" t="s">
        <v>4850</v>
      </c>
      <c r="E1314" s="10" t="str">
        <f>HYPERLINK("https://twitter.com/waleska0328/status/1070978835737391104","1070978835737391104")</f>
        <v>1070978835737391104</v>
      </c>
      <c r="F1314" s="11" t="s">
        <v>4851</v>
      </c>
      <c r="G1314" s="12"/>
      <c r="H1314" s="12"/>
      <c r="I1314" s="13">
        <v>0</v>
      </c>
      <c r="J1314" s="13">
        <v>2</v>
      </c>
      <c r="K1314" s="14" t="str">
        <f t="shared" si="219"/>
        <v>Twitter for iPhone</v>
      </c>
      <c r="L1314" s="13">
        <v>5282</v>
      </c>
      <c r="M1314" s="13">
        <v>5786</v>
      </c>
      <c r="N1314" s="13">
        <v>30</v>
      </c>
      <c r="O1314" s="15"/>
      <c r="P1314" s="6">
        <v>41686.866712962961</v>
      </c>
      <c r="Q1314" s="16" t="s">
        <v>4852</v>
      </c>
      <c r="R1314" s="17" t="s">
        <v>4853</v>
      </c>
      <c r="S1314" s="12"/>
      <c r="T1314" s="12"/>
      <c r="U1314" s="10" t="str">
        <f>HYPERLINK("https://pbs.twimg.com/profile_images/1065743389033787392/fkqcsxbC.jpg","View")</f>
        <v>View</v>
      </c>
    </row>
    <row r="1315" spans="1:21" ht="40.799999999999997">
      <c r="A1315" s="6">
        <v>43441.449270833335</v>
      </c>
      <c r="B1315" s="7" t="str">
        <f>HYPERLINK("https://twitter.com/jomicast","@jomicast")</f>
        <v>@jomicast</v>
      </c>
      <c r="C1315" s="8" t="s">
        <v>4854</v>
      </c>
      <c r="D1315" s="9" t="s">
        <v>4855</v>
      </c>
      <c r="E1315" s="10" t="str">
        <f>HYPERLINK("https://twitter.com/jomicast/status/1070977955428491264","1070977955428491264")</f>
        <v>1070977955428491264</v>
      </c>
      <c r="F1315" s="12"/>
      <c r="G1315" s="11" t="s">
        <v>4856</v>
      </c>
      <c r="H1315" s="12"/>
      <c r="I1315" s="13">
        <v>2</v>
      </c>
      <c r="J1315" s="13">
        <v>3</v>
      </c>
      <c r="K1315" s="14" t="str">
        <f>HYPERLINK("http://twitter.com/download/android","Twitter for Android")</f>
        <v>Twitter for Android</v>
      </c>
      <c r="L1315" s="13">
        <v>102</v>
      </c>
      <c r="M1315" s="13">
        <v>58</v>
      </c>
      <c r="N1315" s="13">
        <v>1</v>
      </c>
      <c r="O1315" s="15"/>
      <c r="P1315" s="6">
        <v>41080.444699074076</v>
      </c>
      <c r="Q1315" s="16" t="s">
        <v>4857</v>
      </c>
      <c r="R1315" s="17" t="s">
        <v>4858</v>
      </c>
      <c r="S1315" s="11" t="s">
        <v>4859</v>
      </c>
      <c r="T1315" s="12"/>
      <c r="U1315" s="10" t="str">
        <f>HYPERLINK("https://pbs.twimg.com/profile_images/1051237010193731584/LoF5nj-y.jpg","View")</f>
        <v>View</v>
      </c>
    </row>
    <row r="1316" spans="1:21" ht="40.799999999999997">
      <c r="A1316" s="6">
        <v>43441.448981481481</v>
      </c>
      <c r="B1316" s="7" t="str">
        <f>HYPERLINK("https://twitter.com/franciscorubira","@franciscorubira")</f>
        <v>@franciscorubira</v>
      </c>
      <c r="C1316" s="8" t="s">
        <v>4860</v>
      </c>
      <c r="D1316" s="9" t="s">
        <v>4861</v>
      </c>
      <c r="E1316" s="10" t="str">
        <f>HYPERLINK("https://twitter.com/franciscorubira/status/1070977852193988608","1070977852193988608")</f>
        <v>1070977852193988608</v>
      </c>
      <c r="F1316" s="11" t="s">
        <v>4862</v>
      </c>
      <c r="G1316" s="11" t="s">
        <v>4863</v>
      </c>
      <c r="H1316" s="12"/>
      <c r="I1316" s="13">
        <v>0</v>
      </c>
      <c r="J1316" s="13">
        <v>0</v>
      </c>
      <c r="K1316" s="14" t="str">
        <f>HYPERLINK("https://dlvrit.com/","dlvr.it")</f>
        <v>dlvr.it</v>
      </c>
      <c r="L1316" s="13">
        <v>2436</v>
      </c>
      <c r="M1316" s="13">
        <v>466</v>
      </c>
      <c r="N1316" s="13">
        <v>43</v>
      </c>
      <c r="O1316" s="15"/>
      <c r="P1316" s="6">
        <v>39871.859317129631</v>
      </c>
      <c r="Q1316" s="16" t="s">
        <v>1408</v>
      </c>
      <c r="R1316" s="17" t="s">
        <v>4864</v>
      </c>
      <c r="S1316" s="11" t="s">
        <v>4865</v>
      </c>
      <c r="T1316" s="12"/>
      <c r="U1316" s="10" t="str">
        <f>HYPERLINK("https://pbs.twimg.com/profile_images/3347587725/a033bb22fbb57ca30cfe28855cc75a4a.jpeg","View")</f>
        <v>View</v>
      </c>
    </row>
    <row r="1317" spans="1:21" ht="30.6">
      <c r="A1317" s="6">
        <v>43441.448460648149</v>
      </c>
      <c r="B1317" s="7" t="str">
        <f>HYPERLINK("https://twitter.com/pepepejusticier","@pepepejusticier")</f>
        <v>@pepepejusticier</v>
      </c>
      <c r="C1317" s="8" t="s">
        <v>4866</v>
      </c>
      <c r="D1317" s="9" t="s">
        <v>4867</v>
      </c>
      <c r="E1317" s="10" t="str">
        <f>HYPERLINK("https://twitter.com/pepepejusticier/status/1070977663253315585","1070977663253315585")</f>
        <v>1070977663253315585</v>
      </c>
      <c r="F1317" s="12"/>
      <c r="G1317" s="12"/>
      <c r="H1317" s="12"/>
      <c r="I1317" s="13">
        <v>0</v>
      </c>
      <c r="J1317" s="13">
        <v>1</v>
      </c>
      <c r="K1317" s="14" t="str">
        <f t="shared" ref="K1317:K1318" si="220">HYPERLINK("http://twitter.com/download/android","Twitter for Android")</f>
        <v>Twitter for Android</v>
      </c>
      <c r="L1317" s="13">
        <v>506</v>
      </c>
      <c r="M1317" s="13">
        <v>537</v>
      </c>
      <c r="N1317" s="13">
        <v>5</v>
      </c>
      <c r="O1317" s="15"/>
      <c r="P1317" s="6">
        <v>40984.590995370367</v>
      </c>
      <c r="Q1317" s="12"/>
      <c r="R1317" s="19"/>
      <c r="S1317" s="12"/>
      <c r="T1317" s="12"/>
      <c r="U1317" s="10" t="str">
        <f>HYPERLINK("https://pbs.twimg.com/profile_images/950130366832152578/9bKpflDt.jpg","View")</f>
        <v>View</v>
      </c>
    </row>
    <row r="1318" spans="1:21" ht="51">
      <c r="A1318" s="6">
        <v>43441.448333333334</v>
      </c>
      <c r="B1318" s="7" t="str">
        <f>HYPERLINK("https://twitter.com/CarlosA52510217","@CarlosA52510217")</f>
        <v>@CarlosA52510217</v>
      </c>
      <c r="C1318" s="8" t="s">
        <v>915</v>
      </c>
      <c r="D1318" s="9" t="s">
        <v>4868</v>
      </c>
      <c r="E1318" s="10" t="str">
        <f>HYPERLINK("https://twitter.com/CarlosA52510217/status/1070977615798902784","1070977615798902784")</f>
        <v>1070977615798902784</v>
      </c>
      <c r="F1318" s="11" t="s">
        <v>4869</v>
      </c>
      <c r="G1318" s="12"/>
      <c r="H1318" s="12"/>
      <c r="I1318" s="13">
        <v>0</v>
      </c>
      <c r="J1318" s="13">
        <v>0</v>
      </c>
      <c r="K1318" s="14" t="str">
        <f t="shared" si="220"/>
        <v>Twitter for Android</v>
      </c>
      <c r="L1318" s="13">
        <v>1</v>
      </c>
      <c r="M1318" s="13">
        <v>19</v>
      </c>
      <c r="N1318" s="13">
        <v>0</v>
      </c>
      <c r="O1318" s="15"/>
      <c r="P1318" s="6">
        <v>43407.698240740741</v>
      </c>
      <c r="Q1318" s="12"/>
      <c r="R1318" s="19"/>
      <c r="S1318" s="12"/>
      <c r="T1318" s="12"/>
      <c r="U1318" s="10" t="str">
        <f>HYPERLINK("https://pbs.twimg.com/profile_images/1058747215328485377/xByyGPwd.jpg","View")</f>
        <v>View</v>
      </c>
    </row>
    <row r="1319" spans="1:21" ht="51">
      <c r="A1319" s="6">
        <v>43441.448194444441</v>
      </c>
      <c r="B1319" s="7" t="str">
        <f>HYPERLINK("https://twitter.com/prusesalcarajo","@prusesalcarajo")</f>
        <v>@prusesalcarajo</v>
      </c>
      <c r="C1319" s="8" t="s">
        <v>4870</v>
      </c>
      <c r="D1319" s="9" t="s">
        <v>4871</v>
      </c>
      <c r="E1319" s="10" t="str">
        <f>HYPERLINK("https://twitter.com/prusesalcarajo/status/1070977568680173568","1070977568680173568")</f>
        <v>1070977568680173568</v>
      </c>
      <c r="F1319" s="11" t="s">
        <v>4245</v>
      </c>
      <c r="G1319" s="12"/>
      <c r="H1319" s="12"/>
      <c r="I1319" s="13">
        <v>0</v>
      </c>
      <c r="J1319" s="13">
        <v>0</v>
      </c>
      <c r="K1319" s="14" t="str">
        <f>HYPERLINK("http://twitter.com","Twitter Web Client")</f>
        <v>Twitter Web Client</v>
      </c>
      <c r="L1319" s="13">
        <v>56</v>
      </c>
      <c r="M1319" s="13">
        <v>36</v>
      </c>
      <c r="N1319" s="13">
        <v>0</v>
      </c>
      <c r="O1319" s="15"/>
      <c r="P1319" s="6">
        <v>42990.685023148151</v>
      </c>
      <c r="Q1319" s="16" t="s">
        <v>60</v>
      </c>
      <c r="R1319" s="17" t="s">
        <v>4872</v>
      </c>
      <c r="S1319" s="12"/>
      <c r="T1319" s="12"/>
      <c r="U1319" s="10" t="str">
        <f>HYPERLINK("https://pbs.twimg.com/profile_images/1065026764773212160/AK48JSuD.jpg","View")</f>
        <v>View</v>
      </c>
    </row>
    <row r="1320" spans="1:21" ht="40.799999999999997">
      <c r="A1320" s="6">
        <v>43441.447187500002</v>
      </c>
      <c r="B1320" s="7" t="str">
        <f>HYPERLINK("https://twitter.com/TimoteoPrez","@TimoteoPrez")</f>
        <v>@TimoteoPrez</v>
      </c>
      <c r="C1320" s="8" t="s">
        <v>4873</v>
      </c>
      <c r="D1320" s="9" t="s">
        <v>4874</v>
      </c>
      <c r="E1320" s="10" t="str">
        <f>HYPERLINK("https://twitter.com/TimoteoPrez/status/1070977203171667968","1070977203171667968")</f>
        <v>1070977203171667968</v>
      </c>
      <c r="F1320" s="11" t="s">
        <v>115</v>
      </c>
      <c r="G1320" s="12"/>
      <c r="H1320" s="12"/>
      <c r="I1320" s="13">
        <v>2</v>
      </c>
      <c r="J1320" s="13">
        <v>0</v>
      </c>
      <c r="K1320" s="14" t="str">
        <f>HYPERLINK("http://twitter.com/download/iphone","Twitter for iPhone")</f>
        <v>Twitter for iPhone</v>
      </c>
      <c r="L1320" s="13">
        <v>1692</v>
      </c>
      <c r="M1320" s="13">
        <v>1268</v>
      </c>
      <c r="N1320" s="13">
        <v>55</v>
      </c>
      <c r="O1320" s="15"/>
      <c r="P1320" s="6">
        <v>40894.446053240739</v>
      </c>
      <c r="Q1320" s="16" t="s">
        <v>4875</v>
      </c>
      <c r="R1320" s="17" t="s">
        <v>4876</v>
      </c>
      <c r="S1320" s="12"/>
      <c r="T1320" s="12"/>
      <c r="U1320" s="10" t="str">
        <f>HYPERLINK("https://pbs.twimg.com/profile_images/757243540879572993/wR4M5c4i.jpg","View")</f>
        <v>View</v>
      </c>
    </row>
    <row r="1321" spans="1:21" ht="51">
      <c r="A1321" s="6">
        <v>43441.447083333333</v>
      </c>
      <c r="B1321" s="7" t="str">
        <f>HYPERLINK("https://twitter.com/breogan1","@breogan1")</f>
        <v>@breogan1</v>
      </c>
      <c r="C1321" s="8" t="s">
        <v>4877</v>
      </c>
      <c r="D1321" s="9" t="s">
        <v>4878</v>
      </c>
      <c r="E1321" s="10" t="str">
        <f>HYPERLINK("https://twitter.com/breogan1/status/1070977164521152512","1070977164521152512")</f>
        <v>1070977164521152512</v>
      </c>
      <c r="F1321" s="12"/>
      <c r="G1321" s="12"/>
      <c r="H1321" s="12"/>
      <c r="I1321" s="13">
        <v>0</v>
      </c>
      <c r="J1321" s="13">
        <v>0</v>
      </c>
      <c r="K1321" s="14" t="str">
        <f t="shared" ref="K1321:K1322" si="221">HYPERLINK("http://twitter.com/download/android","Twitter for Android")</f>
        <v>Twitter for Android</v>
      </c>
      <c r="L1321" s="13">
        <v>203</v>
      </c>
      <c r="M1321" s="13">
        <v>579</v>
      </c>
      <c r="N1321" s="13">
        <v>0</v>
      </c>
      <c r="O1321" s="15"/>
      <c r="P1321" s="6">
        <v>40182.573333333334</v>
      </c>
      <c r="Q1321" s="12"/>
      <c r="R1321" s="19"/>
      <c r="S1321" s="12"/>
      <c r="T1321" s="12"/>
      <c r="U1321" s="10" t="str">
        <f>HYPERLINK("https://pbs.twimg.com/profile_images/559811265867309056/vAxB_I9l.jpeg","View")</f>
        <v>View</v>
      </c>
    </row>
    <row r="1322" spans="1:21" ht="40.799999999999997">
      <c r="A1322" s="6">
        <v>43441.446909722217</v>
      </c>
      <c r="B1322" s="7" t="str">
        <f>HYPERLINK("https://twitter.com/karlseta_2","@karlseta_2")</f>
        <v>@karlseta_2</v>
      </c>
      <c r="C1322" s="8" t="s">
        <v>753</v>
      </c>
      <c r="D1322" s="9" t="s">
        <v>4879</v>
      </c>
      <c r="E1322" s="10" t="str">
        <f>HYPERLINK("https://twitter.com/karlseta_2/status/1070977099740209152","1070977099740209152")</f>
        <v>1070977099740209152</v>
      </c>
      <c r="F1322" s="11" t="s">
        <v>3822</v>
      </c>
      <c r="G1322" s="12"/>
      <c r="H1322" s="12"/>
      <c r="I1322" s="13">
        <v>5</v>
      </c>
      <c r="J1322" s="13">
        <v>7</v>
      </c>
      <c r="K1322" s="14" t="str">
        <f t="shared" si="221"/>
        <v>Twitter for Android</v>
      </c>
      <c r="L1322" s="13">
        <v>1237</v>
      </c>
      <c r="M1322" s="13">
        <v>1135</v>
      </c>
      <c r="N1322" s="13">
        <v>0</v>
      </c>
      <c r="O1322" s="15"/>
      <c r="P1322" s="6">
        <v>43209.593599537038</v>
      </c>
      <c r="Q1322" s="16" t="s">
        <v>754</v>
      </c>
      <c r="R1322" s="17" t="s">
        <v>755</v>
      </c>
      <c r="S1322" s="12"/>
      <c r="T1322" s="12"/>
      <c r="U1322" s="10" t="str">
        <f>HYPERLINK("https://pbs.twimg.com/profile_images/1057562733988798464/NVHu_6Bc.jpg","View")</f>
        <v>View</v>
      </c>
    </row>
    <row r="1323" spans="1:21" ht="40.799999999999997">
      <c r="A1323" s="6">
        <v>43441.445902777778</v>
      </c>
      <c r="B1323" s="7" t="str">
        <f>HYPERLINK("https://twitter.com/ecd_","@ecd_")</f>
        <v>@ecd_</v>
      </c>
      <c r="C1323" s="8" t="s">
        <v>4880</v>
      </c>
      <c r="D1323" s="9" t="s">
        <v>4861</v>
      </c>
      <c r="E1323" s="10" t="str">
        <f>HYPERLINK("https://twitter.com/ecd_/status/1070976735905280000","1070976735905280000")</f>
        <v>1070976735905280000</v>
      </c>
      <c r="F1323" s="11" t="s">
        <v>4881</v>
      </c>
      <c r="G1323" s="12"/>
      <c r="H1323" s="12"/>
      <c r="I1323" s="13">
        <v>2</v>
      </c>
      <c r="J1323" s="13">
        <v>0</v>
      </c>
      <c r="K1323" s="14" t="str">
        <f>HYPERLINK("http://dogtrack.es","DogTrack_Oficial")</f>
        <v>DogTrack_Oficial</v>
      </c>
      <c r="L1323" s="13">
        <v>88447</v>
      </c>
      <c r="M1323" s="13">
        <v>364</v>
      </c>
      <c r="N1323" s="13">
        <v>2648</v>
      </c>
      <c r="O1323" s="15"/>
      <c r="P1323" s="6">
        <v>39931.730115740742</v>
      </c>
      <c r="Q1323" s="28" t="s">
        <v>4882</v>
      </c>
      <c r="R1323" s="17" t="s">
        <v>4883</v>
      </c>
      <c r="S1323" s="11" t="s">
        <v>4884</v>
      </c>
      <c r="T1323" s="12"/>
      <c r="U1323" s="10" t="str">
        <f>HYPERLINK("https://pbs.twimg.com/profile_images/720595850238554113/Y8DGFyzZ.jpg","View")</f>
        <v>View</v>
      </c>
    </row>
    <row r="1324" spans="1:21" ht="13.2">
      <c r="A1324" s="6">
        <v>43441.445694444439</v>
      </c>
      <c r="B1324" s="7" t="str">
        <f>HYPERLINK("https://twitter.com/anfaga1955","@anfaga1955")</f>
        <v>@anfaga1955</v>
      </c>
      <c r="C1324" s="8" t="s">
        <v>4052</v>
      </c>
      <c r="D1324" s="9" t="s">
        <v>4885</v>
      </c>
      <c r="E1324" s="10" t="str">
        <f>HYPERLINK("https://twitter.com/anfaga1955/status/1070976660957290497","1070976660957290497")</f>
        <v>1070976660957290497</v>
      </c>
      <c r="F1324" s="11" t="s">
        <v>4886</v>
      </c>
      <c r="G1324" s="12"/>
      <c r="H1324" s="12"/>
      <c r="I1324" s="13">
        <v>1</v>
      </c>
      <c r="J1324" s="13">
        <v>1</v>
      </c>
      <c r="K1324" s="14" t="str">
        <f>HYPERLINK("http://twitter.com","Twitter Web Client")</f>
        <v>Twitter Web Client</v>
      </c>
      <c r="L1324" s="13">
        <v>2659</v>
      </c>
      <c r="M1324" s="13">
        <v>2459</v>
      </c>
      <c r="N1324" s="13">
        <v>8</v>
      </c>
      <c r="O1324" s="15"/>
      <c r="P1324" s="6">
        <v>42912.589340277773</v>
      </c>
      <c r="Q1324" s="16" t="s">
        <v>45</v>
      </c>
      <c r="R1324" s="17" t="s">
        <v>4055</v>
      </c>
      <c r="S1324" s="12"/>
      <c r="T1324" s="12"/>
      <c r="U1324" s="10" t="str">
        <f>HYPERLINK("https://pbs.twimg.com/profile_images/960918821673623553/zZPdLymV.jpg","View")</f>
        <v>View</v>
      </c>
    </row>
    <row r="1325" spans="1:21" ht="20.399999999999999">
      <c r="A1325" s="6">
        <v>43441.445659722223</v>
      </c>
      <c r="B1325" s="7" t="str">
        <f>HYPERLINK("https://twitter.com/RadioUnionTfe","@RadioUnionTfe")</f>
        <v>@RadioUnionTfe</v>
      </c>
      <c r="C1325" s="8" t="s">
        <v>4033</v>
      </c>
      <c r="D1325" s="9" t="s">
        <v>4887</v>
      </c>
      <c r="E1325" s="10" t="str">
        <f>HYPERLINK("https://twitter.com/RadioUnionTfe/status/1070976649297084416","1070976649297084416")</f>
        <v>1070976649297084416</v>
      </c>
      <c r="F1325" s="11" t="s">
        <v>4035</v>
      </c>
      <c r="G1325" s="12"/>
      <c r="H1325" s="12"/>
      <c r="I1325" s="13">
        <v>0</v>
      </c>
      <c r="J1325" s="13">
        <v>0</v>
      </c>
      <c r="K1325" s="14" t="str">
        <f>HYPERLINK("http://twitter.com/download/android","Twitter for Android")</f>
        <v>Twitter for Android</v>
      </c>
      <c r="L1325" s="13">
        <v>170</v>
      </c>
      <c r="M1325" s="13">
        <v>63</v>
      </c>
      <c r="N1325" s="13">
        <v>1</v>
      </c>
      <c r="O1325" s="15"/>
      <c r="P1325" s="6">
        <v>40749.728564814817</v>
      </c>
      <c r="Q1325" s="12"/>
      <c r="R1325" s="19"/>
      <c r="S1325" s="12"/>
      <c r="T1325" s="12"/>
      <c r="U1325" s="10" t="str">
        <f>HYPERLINK("https://pbs.twimg.com/profile_images/912725003900211200/tvZWR99g.jpg","View")</f>
        <v>View</v>
      </c>
    </row>
    <row r="1326" spans="1:21" ht="51">
      <c r="A1326" s="6">
        <v>43441.445104166662</v>
      </c>
      <c r="B1326" s="7" t="str">
        <f>HYPERLINK("https://twitter.com/GinesGarciaImb","@GinesGarciaImb")</f>
        <v>@GinesGarciaImb</v>
      </c>
      <c r="C1326" s="8" t="s">
        <v>4890</v>
      </c>
      <c r="D1326" s="9" t="s">
        <v>4891</v>
      </c>
      <c r="E1326" s="10" t="str">
        <f>HYPERLINK("https://twitter.com/GinesGarciaImb/status/1070976449333682176","1070976449333682176")</f>
        <v>1070976449333682176</v>
      </c>
      <c r="F1326" s="16" t="s">
        <v>4892</v>
      </c>
      <c r="G1326" s="12"/>
      <c r="H1326" s="12"/>
      <c r="I1326" s="13">
        <v>0</v>
      </c>
      <c r="J1326" s="13">
        <v>0</v>
      </c>
      <c r="K1326" s="14" t="str">
        <f>HYPERLINK("http://twitter.com","Twitter Web Client")</f>
        <v>Twitter Web Client</v>
      </c>
      <c r="L1326" s="13">
        <v>400</v>
      </c>
      <c r="M1326" s="13">
        <v>639</v>
      </c>
      <c r="N1326" s="13">
        <v>4</v>
      </c>
      <c r="O1326" s="15"/>
      <c r="P1326" s="6">
        <v>40990.804837962962</v>
      </c>
      <c r="Q1326" s="16" t="s">
        <v>4893</v>
      </c>
      <c r="R1326" s="17" t="s">
        <v>4894</v>
      </c>
      <c r="S1326" s="11" t="s">
        <v>4895</v>
      </c>
      <c r="T1326" s="12"/>
      <c r="U1326" s="10" t="str">
        <f>HYPERLINK("https://pbs.twimg.com/profile_images/1068852681832374272/BDWoxYL8.jpg","View")</f>
        <v>View</v>
      </c>
    </row>
    <row r="1327" spans="1:21" ht="30.6">
      <c r="A1327" s="6">
        <v>43441.444618055553</v>
      </c>
      <c r="B1327" s="7" t="str">
        <f>HYPERLINK("https://twitter.com/NotiNewsMiami","@NotiNewsMiami")</f>
        <v>@NotiNewsMiami</v>
      </c>
      <c r="C1327" s="8" t="s">
        <v>4201</v>
      </c>
      <c r="D1327" s="9" t="s">
        <v>4896</v>
      </c>
      <c r="E1327" s="10" t="str">
        <f>HYPERLINK("https://twitter.com/NotiNewsMiami/status/1070976269498638336","1070976269498638336")</f>
        <v>1070976269498638336</v>
      </c>
      <c r="F1327" s="11" t="s">
        <v>4897</v>
      </c>
      <c r="G1327" s="12"/>
      <c r="H1327" s="12"/>
      <c r="I1327" s="13">
        <v>2</v>
      </c>
      <c r="J1327" s="13">
        <v>1</v>
      </c>
      <c r="K1327" s="14" t="str">
        <f>HYPERLINK("https://buffer.com","Buffer")</f>
        <v>Buffer</v>
      </c>
      <c r="L1327" s="13">
        <v>133689</v>
      </c>
      <c r="M1327" s="13">
        <v>9466</v>
      </c>
      <c r="N1327" s="13">
        <v>448</v>
      </c>
      <c r="O1327" s="15"/>
      <c r="P1327" s="6">
        <v>41688.329629629632</v>
      </c>
      <c r="Q1327" s="16" t="s">
        <v>3662</v>
      </c>
      <c r="R1327" s="17" t="s">
        <v>4204</v>
      </c>
      <c r="S1327" s="11" t="s">
        <v>4205</v>
      </c>
      <c r="T1327" s="12"/>
      <c r="U1327" s="10" t="str">
        <f>HYPERLINK("https://pbs.twimg.com/profile_images/1017913224887521280/xOqi1TRb.jpg","View")</f>
        <v>View</v>
      </c>
    </row>
    <row r="1328" spans="1:21" ht="40.799999999999997">
      <c r="A1328" s="6">
        <v>43441.444513888884</v>
      </c>
      <c r="B1328" s="7" t="str">
        <f>HYPERLINK("https://twitter.com/lextresabogados","@lextresabogados")</f>
        <v>@lextresabogados</v>
      </c>
      <c r="C1328" s="8" t="s">
        <v>226</v>
      </c>
      <c r="D1328" s="9" t="s">
        <v>4887</v>
      </c>
      <c r="E1328" s="10" t="str">
        <f>HYPERLINK("https://twitter.com/lextresabogados/status/1070976232555245568","1070976232555245568")</f>
        <v>1070976232555245568</v>
      </c>
      <c r="F1328" s="11" t="s">
        <v>4035</v>
      </c>
      <c r="G1328" s="12"/>
      <c r="H1328" s="12"/>
      <c r="I1328" s="13">
        <v>0</v>
      </c>
      <c r="J1328" s="13">
        <v>0</v>
      </c>
      <c r="K1328" s="14" t="str">
        <f>HYPERLINK("http://35.180.36.179","botize nueva")</f>
        <v>botize nueva</v>
      </c>
      <c r="L1328" s="13">
        <v>2912</v>
      </c>
      <c r="M1328" s="13">
        <v>3525</v>
      </c>
      <c r="N1328" s="13">
        <v>26</v>
      </c>
      <c r="O1328" s="15"/>
      <c r="P1328" s="6">
        <v>42880.770949074074</v>
      </c>
      <c r="Q1328" s="16" t="s">
        <v>230</v>
      </c>
      <c r="R1328" s="17" t="s">
        <v>231</v>
      </c>
      <c r="S1328" s="11" t="s">
        <v>232</v>
      </c>
      <c r="T1328" s="12"/>
      <c r="U1328" s="10" t="str">
        <f>HYPERLINK("https://pbs.twimg.com/profile_images/1068056978679898113/YnjKwiVy.jpg","View")</f>
        <v>View</v>
      </c>
    </row>
    <row r="1329" spans="1:21" ht="51">
      <c r="A1329" s="6">
        <v>43441.443506944444</v>
      </c>
      <c r="B1329" s="7" t="str">
        <f>HYPERLINK("https://twitter.com/Belen_Larioss","@Belen_Larioss")</f>
        <v>@Belen_Larioss</v>
      </c>
      <c r="C1329" s="8" t="s">
        <v>4898</v>
      </c>
      <c r="D1329" s="9" t="s">
        <v>4899</v>
      </c>
      <c r="E1329" s="10" t="str">
        <f>HYPERLINK("https://twitter.com/Belen_Larioss/status/1070975867160027136","1070975867160027136")</f>
        <v>1070975867160027136</v>
      </c>
      <c r="F1329" s="11" t="s">
        <v>467</v>
      </c>
      <c r="G1329" s="12"/>
      <c r="H1329" s="12"/>
      <c r="I1329" s="13">
        <v>5</v>
      </c>
      <c r="J1329" s="13">
        <v>4</v>
      </c>
      <c r="K1329" s="14" t="str">
        <f>HYPERLINK("http://twitter.com","Twitter Web Client")</f>
        <v>Twitter Web Client</v>
      </c>
      <c r="L1329" s="13">
        <v>15590</v>
      </c>
      <c r="M1329" s="13">
        <v>13045</v>
      </c>
      <c r="N1329" s="13">
        <v>124</v>
      </c>
      <c r="O1329" s="15"/>
      <c r="P1329" s="6">
        <v>41188.604050925926</v>
      </c>
      <c r="Q1329" s="16" t="s">
        <v>4760</v>
      </c>
      <c r="R1329" s="17" t="s">
        <v>4900</v>
      </c>
      <c r="S1329" s="12"/>
      <c r="T1329" s="12"/>
      <c r="U1329" s="10" t="str">
        <f>HYPERLINK("https://pbs.twimg.com/profile_images/1038728763310317578/yAiv1-A2.jpg","View")</f>
        <v>View</v>
      </c>
    </row>
    <row r="1330" spans="1:21" ht="40.799999999999997">
      <c r="A1330" s="6">
        <v>43441.443194444444</v>
      </c>
      <c r="B1330" s="7" t="str">
        <f>HYPERLINK("https://twitter.com/CarmenPr81","@CarmenPr81")</f>
        <v>@CarmenPr81</v>
      </c>
      <c r="C1330" s="8" t="s">
        <v>4901</v>
      </c>
      <c r="D1330" s="9" t="s">
        <v>4902</v>
      </c>
      <c r="E1330" s="10" t="str">
        <f>HYPERLINK("https://twitter.com/CarmenPr81/status/1070975754878545920","1070975754878545920")</f>
        <v>1070975754878545920</v>
      </c>
      <c r="F1330" s="11" t="s">
        <v>4903</v>
      </c>
      <c r="G1330" s="12"/>
      <c r="H1330" s="12"/>
      <c r="I1330" s="13">
        <v>0</v>
      </c>
      <c r="J1330" s="13">
        <v>0</v>
      </c>
      <c r="K1330" s="14" t="str">
        <f>HYPERLINK("https://ifttt.com","IFTTT")</f>
        <v>IFTTT</v>
      </c>
      <c r="L1330" s="13">
        <v>4085</v>
      </c>
      <c r="M1330" s="13">
        <v>3638</v>
      </c>
      <c r="N1330" s="13">
        <v>355</v>
      </c>
      <c r="O1330" s="15"/>
      <c r="P1330" s="6">
        <v>41002.797662037039</v>
      </c>
      <c r="Q1330" s="16" t="s">
        <v>4904</v>
      </c>
      <c r="R1330" s="17" t="s">
        <v>4905</v>
      </c>
      <c r="S1330" s="11" t="s">
        <v>4906</v>
      </c>
      <c r="T1330" s="12"/>
      <c r="U1330" s="10" t="str">
        <f>HYPERLINK("https://pbs.twimg.com/profile_images/1060626153633914880/0X_cQnho.jpg","View")</f>
        <v>View</v>
      </c>
    </row>
    <row r="1331" spans="1:21" ht="30.6">
      <c r="A1331" s="6">
        <v>43441.442777777775</v>
      </c>
      <c r="B1331" s="7" t="str">
        <f>HYPERLINK("https://twitter.com/casajuntoalrio","@casajuntoalrio")</f>
        <v>@casajuntoalrio</v>
      </c>
      <c r="C1331" s="8" t="s">
        <v>566</v>
      </c>
      <c r="D1331" s="9" t="s">
        <v>4907</v>
      </c>
      <c r="E1331" s="10" t="str">
        <f>HYPERLINK("https://twitter.com/casajuntoalrio/status/1070975605297029120","1070975605297029120")</f>
        <v>1070975605297029120</v>
      </c>
      <c r="F1331" s="11" t="s">
        <v>4908</v>
      </c>
      <c r="G1331" s="12"/>
      <c r="H1331" s="12"/>
      <c r="I1331" s="13">
        <v>0</v>
      </c>
      <c r="J1331" s="13">
        <v>0</v>
      </c>
      <c r="K1331" s="14" t="str">
        <f t="shared" ref="K1331:K1332" si="222">HYPERLINK("http://twitter.com","Twitter Web Client")</f>
        <v>Twitter Web Client</v>
      </c>
      <c r="L1331" s="13">
        <v>11008</v>
      </c>
      <c r="M1331" s="13">
        <v>10638</v>
      </c>
      <c r="N1331" s="13">
        <v>131</v>
      </c>
      <c r="O1331" s="15"/>
      <c r="P1331" s="6">
        <v>40681.741875</v>
      </c>
      <c r="Q1331" s="16" t="s">
        <v>4909</v>
      </c>
      <c r="R1331" s="17" t="s">
        <v>4910</v>
      </c>
      <c r="S1331" s="11" t="s">
        <v>4911</v>
      </c>
      <c r="T1331" s="12"/>
      <c r="U1331" s="10" t="str">
        <f>HYPERLINK("https://pbs.twimg.com/profile_images/906179094798364672/ZI0NeUvo.jpg","View")</f>
        <v>View</v>
      </c>
    </row>
    <row r="1332" spans="1:21" ht="20.399999999999999">
      <c r="A1332" s="6">
        <v>43441.442650462966</v>
      </c>
      <c r="B1332" s="7" t="str">
        <f>HYPERLINK("https://twitter.com/Realidazando","@Realidazando")</f>
        <v>@Realidazando</v>
      </c>
      <c r="C1332" s="8" t="s">
        <v>4912</v>
      </c>
      <c r="D1332" s="9" t="s">
        <v>4913</v>
      </c>
      <c r="E1332" s="10" t="str">
        <f>HYPERLINK("https://twitter.com/Realidazando/status/1070975559793025024","1070975559793025024")</f>
        <v>1070975559793025024</v>
      </c>
      <c r="F1332" s="11" t="s">
        <v>4914</v>
      </c>
      <c r="G1332" s="12"/>
      <c r="H1332" s="12"/>
      <c r="I1332" s="13">
        <v>0</v>
      </c>
      <c r="J1332" s="13">
        <v>0</v>
      </c>
      <c r="K1332" s="14" t="str">
        <f t="shared" si="222"/>
        <v>Twitter Web Client</v>
      </c>
      <c r="L1332" s="13">
        <v>1431</v>
      </c>
      <c r="M1332" s="13">
        <v>1574</v>
      </c>
      <c r="N1332" s="13">
        <v>4</v>
      </c>
      <c r="O1332" s="15"/>
      <c r="P1332" s="6">
        <v>42877.47755787037</v>
      </c>
      <c r="Q1332" s="12"/>
      <c r="R1332" s="17" t="s">
        <v>4915</v>
      </c>
      <c r="S1332" s="12"/>
      <c r="T1332" s="12"/>
      <c r="U1332" s="10" t="str">
        <f>HYPERLINK("https://pbs.twimg.com/profile_images/1023845303810760704/TKAqLstU.jpg","View")</f>
        <v>View</v>
      </c>
    </row>
    <row r="1333" spans="1:21" ht="20.399999999999999">
      <c r="A1333" s="6">
        <v>43441.442326388889</v>
      </c>
      <c r="B1333" s="7" t="str">
        <f>HYPERLINK("https://twitter.com/LaVanguardia","@LaVanguardia")</f>
        <v>@LaVanguardia</v>
      </c>
      <c r="C1333" s="8" t="s">
        <v>297</v>
      </c>
      <c r="D1333" s="9" t="s">
        <v>4887</v>
      </c>
      <c r="E1333" s="10" t="str">
        <f>HYPERLINK("https://twitter.com/LaVanguardia/status/1070975441106845697","1070975441106845697")</f>
        <v>1070975441106845697</v>
      </c>
      <c r="F1333" s="11" t="s">
        <v>4035</v>
      </c>
      <c r="G1333" s="12"/>
      <c r="H1333" s="12"/>
      <c r="I1333" s="13">
        <v>7</v>
      </c>
      <c r="J1333" s="13">
        <v>8</v>
      </c>
      <c r="K1333" s="14" t="str">
        <f>HYPERLINK("http://www.lavanguardia.es","App publicación twits DGRID")</f>
        <v>App publicación twits DGRID</v>
      </c>
      <c r="L1333" s="13">
        <v>999506</v>
      </c>
      <c r="M1333" s="13">
        <v>524</v>
      </c>
      <c r="N1333" s="13">
        <v>12587</v>
      </c>
      <c r="O1333" s="18" t="s">
        <v>41</v>
      </c>
      <c r="P1333" s="6">
        <v>40071.664548611108</v>
      </c>
      <c r="Q1333" s="16" t="s">
        <v>85</v>
      </c>
      <c r="R1333" s="17" t="s">
        <v>301</v>
      </c>
      <c r="S1333" s="11" t="s">
        <v>304</v>
      </c>
      <c r="T1333" s="12"/>
      <c r="U1333" s="10" t="str">
        <f>HYPERLINK("https://pbs.twimg.com/profile_images/936873783721320448/6Q97S0pp.jpg","View")</f>
        <v>View</v>
      </c>
    </row>
    <row r="1334" spans="1:21" ht="20.399999999999999">
      <c r="A1334" s="6">
        <v>43441.442326388889</v>
      </c>
      <c r="B1334" s="7" t="str">
        <f>HYPERLINK("https://twitter.com/Realidazando","@Realidazando")</f>
        <v>@Realidazando</v>
      </c>
      <c r="C1334" s="8" t="s">
        <v>4912</v>
      </c>
      <c r="D1334" s="9" t="s">
        <v>4916</v>
      </c>
      <c r="E1334" s="10" t="str">
        <f>HYPERLINK("https://twitter.com/Realidazando/status/1070975440372817920","1070975440372817920")</f>
        <v>1070975440372817920</v>
      </c>
      <c r="F1334" s="11" t="s">
        <v>4917</v>
      </c>
      <c r="G1334" s="12"/>
      <c r="H1334" s="12"/>
      <c r="I1334" s="13">
        <v>0</v>
      </c>
      <c r="J1334" s="13">
        <v>0</v>
      </c>
      <c r="K1334" s="14" t="str">
        <f>HYPERLINK("http://twitter.com","Twitter Web Client")</f>
        <v>Twitter Web Client</v>
      </c>
      <c r="L1334" s="13">
        <v>1431</v>
      </c>
      <c r="M1334" s="13">
        <v>1574</v>
      </c>
      <c r="N1334" s="13">
        <v>4</v>
      </c>
      <c r="O1334" s="15"/>
      <c r="P1334" s="6">
        <v>42877.47755787037</v>
      </c>
      <c r="Q1334" s="12"/>
      <c r="R1334" s="17" t="s">
        <v>4915</v>
      </c>
      <c r="S1334" s="12"/>
      <c r="T1334" s="12"/>
      <c r="U1334" s="10" t="str">
        <f>HYPERLINK("https://pbs.twimg.com/profile_images/1023845303810760704/TKAqLstU.jpg","View")</f>
        <v>View</v>
      </c>
    </row>
    <row r="1335" spans="1:21" ht="30.6">
      <c r="A1335" s="6">
        <v>43441.442187499997</v>
      </c>
      <c r="B1335" s="7" t="str">
        <f>HYPERLINK("https://twitter.com/ChimoleManza1","@ChimoleManza1")</f>
        <v>@ChimoleManza1</v>
      </c>
      <c r="C1335" s="8" t="s">
        <v>4747</v>
      </c>
      <c r="D1335" s="9" t="s">
        <v>4918</v>
      </c>
      <c r="E1335" s="10" t="str">
        <f>HYPERLINK("https://twitter.com/ChimoleManza1/status/1070975391643435008","1070975391643435008")</f>
        <v>1070975391643435008</v>
      </c>
      <c r="F1335" s="11" t="s">
        <v>4919</v>
      </c>
      <c r="G1335" s="12"/>
      <c r="H1335" s="12"/>
      <c r="I1335" s="13">
        <v>0</v>
      </c>
      <c r="J1335" s="13">
        <v>0</v>
      </c>
      <c r="K1335" s="14" t="str">
        <f t="shared" ref="K1335:K1338" si="223">HYPERLINK("http://twitter.com/download/android","Twitter for Android")</f>
        <v>Twitter for Android</v>
      </c>
      <c r="L1335" s="13">
        <v>1445</v>
      </c>
      <c r="M1335" s="13">
        <v>1716</v>
      </c>
      <c r="N1335" s="13">
        <v>11</v>
      </c>
      <c r="O1335" s="15"/>
      <c r="P1335" s="6">
        <v>40707.788310185184</v>
      </c>
      <c r="Q1335" s="16" t="s">
        <v>4750</v>
      </c>
      <c r="R1335" s="17" t="s">
        <v>4751</v>
      </c>
      <c r="S1335" s="12"/>
      <c r="T1335" s="12"/>
      <c r="U1335" s="10" t="str">
        <f>HYPERLINK("https://pbs.twimg.com/profile_images/2036850246/5o49auk0","View")</f>
        <v>View</v>
      </c>
    </row>
    <row r="1336" spans="1:21" ht="51">
      <c r="A1336" s="6">
        <v>43441.44127314815</v>
      </c>
      <c r="B1336" s="7" t="str">
        <f>HYPERLINK("https://twitter.com/AgrHHCCLinares","@AgrHHCCLinares")</f>
        <v>@AgrHHCCLinares</v>
      </c>
      <c r="C1336" s="8" t="s">
        <v>4920</v>
      </c>
      <c r="D1336" s="9" t="s">
        <v>4921</v>
      </c>
      <c r="E1336" s="10" t="str">
        <f>HYPERLINK("https://twitter.com/AgrHHCCLinares/status/1070975058460532737","1070975058460532737")</f>
        <v>1070975058460532737</v>
      </c>
      <c r="F1336" s="12"/>
      <c r="G1336" s="12"/>
      <c r="H1336" s="12"/>
      <c r="I1336" s="13">
        <v>3</v>
      </c>
      <c r="J1336" s="13">
        <v>4</v>
      </c>
      <c r="K1336" s="14" t="str">
        <f t="shared" si="223"/>
        <v>Twitter for Android</v>
      </c>
      <c r="L1336" s="13">
        <v>2030</v>
      </c>
      <c r="M1336" s="13">
        <v>1076</v>
      </c>
      <c r="N1336" s="13">
        <v>13</v>
      </c>
      <c r="O1336" s="15"/>
      <c r="P1336" s="6">
        <v>40904.532743055555</v>
      </c>
      <c r="Q1336" s="16" t="s">
        <v>2342</v>
      </c>
      <c r="R1336" s="19"/>
      <c r="S1336" s="11" t="s">
        <v>4922</v>
      </c>
      <c r="T1336" s="12"/>
      <c r="U1336" s="10" t="str">
        <f>HYPERLINK("https://pbs.twimg.com/profile_images/1747650728/2_-_escudo_agrupacion_sombra_sin_fondo.JPG","View")</f>
        <v>View</v>
      </c>
    </row>
    <row r="1337" spans="1:21" ht="40.799999999999997">
      <c r="A1337" s="6">
        <v>43441.440972222219</v>
      </c>
      <c r="B1337" s="7" t="str">
        <f>HYPERLINK("https://twitter.com/LENDINEZ_MD","@LENDINEZ_MD")</f>
        <v>@LENDINEZ_MD</v>
      </c>
      <c r="C1337" s="8" t="s">
        <v>4923</v>
      </c>
      <c r="D1337" s="9" t="s">
        <v>4924</v>
      </c>
      <c r="E1337" s="10" t="str">
        <f>HYPERLINK("https://twitter.com/LENDINEZ_MD/status/1070974951040172032","1070974951040172032")</f>
        <v>1070974951040172032</v>
      </c>
      <c r="F1337" s="11" t="s">
        <v>4925</v>
      </c>
      <c r="G1337" s="12"/>
      <c r="H1337" s="12"/>
      <c r="I1337" s="13">
        <v>0</v>
      </c>
      <c r="J1337" s="13">
        <v>0</v>
      </c>
      <c r="K1337" s="14" t="str">
        <f t="shared" si="223"/>
        <v>Twitter for Android</v>
      </c>
      <c r="L1337" s="13">
        <v>40</v>
      </c>
      <c r="M1337" s="13">
        <v>95</v>
      </c>
      <c r="N1337" s="13">
        <v>5</v>
      </c>
      <c r="O1337" s="15"/>
      <c r="P1337" s="6">
        <v>40683.583749999998</v>
      </c>
      <c r="Q1337" s="16" t="s">
        <v>3146</v>
      </c>
      <c r="R1337" s="17" t="s">
        <v>4926</v>
      </c>
      <c r="S1337" s="11" t="s">
        <v>4927</v>
      </c>
      <c r="T1337" s="12"/>
      <c r="U1337" s="10" t="str">
        <f>HYPERLINK("https://pbs.twimg.com/profile_images/1015692810366935041/XGKPho1t.jpg","View")</f>
        <v>View</v>
      </c>
    </row>
    <row r="1338" spans="1:21" ht="20.399999999999999">
      <c r="A1338" s="6">
        <v>43441.440393518518</v>
      </c>
      <c r="B1338" s="7" t="str">
        <f>HYPERLINK("https://twitter.com/JesusRomeroLeon","@JesusRomeroLeon")</f>
        <v>@JesusRomeroLeon</v>
      </c>
      <c r="C1338" s="8" t="s">
        <v>4928</v>
      </c>
      <c r="D1338" s="9" t="s">
        <v>2241</v>
      </c>
      <c r="E1338" s="10" t="str">
        <f>HYPERLINK("https://twitter.com/JesusRomeroLeon/status/1070974742214176769","1070974742214176769")</f>
        <v>1070974742214176769</v>
      </c>
      <c r="F1338" s="11" t="s">
        <v>2242</v>
      </c>
      <c r="G1338" s="12"/>
      <c r="H1338" s="12"/>
      <c r="I1338" s="13">
        <v>0</v>
      </c>
      <c r="J1338" s="13">
        <v>0</v>
      </c>
      <c r="K1338" s="14" t="str">
        <f t="shared" si="223"/>
        <v>Twitter for Android</v>
      </c>
      <c r="L1338" s="13">
        <v>890</v>
      </c>
      <c r="M1338" s="13">
        <v>908</v>
      </c>
      <c r="N1338" s="13">
        <v>56</v>
      </c>
      <c r="O1338" s="15"/>
      <c r="P1338" s="6">
        <v>40074.800462962965</v>
      </c>
      <c r="Q1338" s="16" t="s">
        <v>4929</v>
      </c>
      <c r="R1338" s="17" t="s">
        <v>4930</v>
      </c>
      <c r="S1338" s="12"/>
      <c r="T1338" s="12"/>
      <c r="U1338" s="10" t="str">
        <f>HYPERLINK("https://pbs.twimg.com/profile_images/1048511285464387584/35I-j85n.jpg","View")</f>
        <v>View</v>
      </c>
    </row>
    <row r="1339" spans="1:21" ht="20.399999999999999">
      <c r="A1339" s="6">
        <v>43441.437928240739</v>
      </c>
      <c r="B1339" s="7" t="str">
        <f>HYPERLINK("https://twitter.com/carmenheras","@carmenheras")</f>
        <v>@carmenheras</v>
      </c>
      <c r="C1339" s="8" t="s">
        <v>4931</v>
      </c>
      <c r="D1339" s="9" t="s">
        <v>4932</v>
      </c>
      <c r="E1339" s="10" t="str">
        <f>HYPERLINK("https://twitter.com/carmenheras/status/1070973848378580993","1070973848378580993")</f>
        <v>1070973848378580993</v>
      </c>
      <c r="F1339" s="11" t="s">
        <v>2409</v>
      </c>
      <c r="G1339" s="12"/>
      <c r="H1339" s="12"/>
      <c r="I1339" s="13">
        <v>0</v>
      </c>
      <c r="J1339" s="13">
        <v>0</v>
      </c>
      <c r="K1339" s="14" t="str">
        <f>HYPERLINK("http://twitter.com/#!/download/ipad","Twitter for iPad")</f>
        <v>Twitter for iPad</v>
      </c>
      <c r="L1339" s="13">
        <v>3812</v>
      </c>
      <c r="M1339" s="13">
        <v>3836</v>
      </c>
      <c r="N1339" s="13">
        <v>79</v>
      </c>
      <c r="O1339" s="15"/>
      <c r="P1339" s="6">
        <v>40178.948993055557</v>
      </c>
      <c r="Q1339" s="16" t="s">
        <v>4933</v>
      </c>
      <c r="R1339" s="17" t="s">
        <v>4934</v>
      </c>
      <c r="S1339" s="11" t="s">
        <v>4935</v>
      </c>
      <c r="T1339" s="12"/>
      <c r="U1339" s="10" t="str">
        <f>HYPERLINK("https://pbs.twimg.com/profile_images/416282997491777537/-2hdZ1Og.jpeg","View")</f>
        <v>View</v>
      </c>
    </row>
    <row r="1340" spans="1:21" ht="51">
      <c r="A1340" s="6">
        <v>43441.436689814815</v>
      </c>
      <c r="B1340" s="7" t="str">
        <f>HYPERLINK("https://twitter.com/delos_unos","@delos_unos")</f>
        <v>@delos_unos</v>
      </c>
      <c r="C1340" s="8" t="s">
        <v>4936</v>
      </c>
      <c r="D1340" s="9" t="s">
        <v>4937</v>
      </c>
      <c r="E1340" s="10" t="str">
        <f>HYPERLINK("https://twitter.com/delos_unos/status/1070973396375212033","1070973396375212033")</f>
        <v>1070973396375212033</v>
      </c>
      <c r="F1340" s="12"/>
      <c r="G1340" s="12"/>
      <c r="H1340" s="12"/>
      <c r="I1340" s="13">
        <v>0</v>
      </c>
      <c r="J1340" s="13">
        <v>0</v>
      </c>
      <c r="K1340" s="14" t="str">
        <f>HYPERLINK("http://twitter.com/download/android","Twitter for Android")</f>
        <v>Twitter for Android</v>
      </c>
      <c r="L1340" s="13">
        <v>1450</v>
      </c>
      <c r="M1340" s="13">
        <v>2250</v>
      </c>
      <c r="N1340" s="13">
        <v>14</v>
      </c>
      <c r="O1340" s="15"/>
      <c r="P1340" s="6">
        <v>40664.502870370372</v>
      </c>
      <c r="Q1340" s="12"/>
      <c r="R1340" s="17" t="s">
        <v>4938</v>
      </c>
      <c r="S1340" s="12"/>
      <c r="T1340" s="12"/>
      <c r="U1340" s="10" t="str">
        <f>HYPERLINK("https://pbs.twimg.com/profile_images/1071445904962523138/-c2PdC87.jpg","View")</f>
        <v>View</v>
      </c>
    </row>
    <row r="1341" spans="1:21" ht="51">
      <c r="A1341" s="6">
        <v>43441.436307870375</v>
      </c>
      <c r="B1341" s="7" t="str">
        <f>HYPERLINK("https://twitter.com/Yankas","@Yankas")</f>
        <v>@Yankas</v>
      </c>
      <c r="C1341" s="8" t="s">
        <v>184</v>
      </c>
      <c r="D1341" s="9" t="s">
        <v>185</v>
      </c>
      <c r="E1341" s="10" t="str">
        <f>HYPERLINK("https://twitter.com/Yankas/status/1070973260601413632","1070973260601413632")</f>
        <v>1070973260601413632</v>
      </c>
      <c r="F1341" s="11" t="s">
        <v>186</v>
      </c>
      <c r="G1341" s="12"/>
      <c r="H1341" s="12"/>
      <c r="I1341" s="13">
        <v>0</v>
      </c>
      <c r="J1341" s="13">
        <v>1</v>
      </c>
      <c r="K1341" s="14" t="str">
        <f t="shared" ref="K1341:K1343" si="224">HYPERLINK("http://twitter.com","Twitter Web Client")</f>
        <v>Twitter Web Client</v>
      </c>
      <c r="L1341" s="13">
        <v>2048</v>
      </c>
      <c r="M1341" s="13">
        <v>2760</v>
      </c>
      <c r="N1341" s="13">
        <v>176</v>
      </c>
      <c r="O1341" s="15"/>
      <c r="P1341" s="6">
        <v>39711.629560185189</v>
      </c>
      <c r="Q1341" s="16" t="s">
        <v>187</v>
      </c>
      <c r="R1341" s="17" t="s">
        <v>188</v>
      </c>
      <c r="S1341" s="11" t="s">
        <v>189</v>
      </c>
      <c r="T1341" s="12"/>
      <c r="U1341" s="10" t="str">
        <f>HYPERLINK("https://pbs.twimg.com/profile_images/1051054624885620737/hXZTOcET.jpg","View")</f>
        <v>View</v>
      </c>
    </row>
    <row r="1342" spans="1:21" ht="51">
      <c r="A1342" s="6">
        <v>43441.436180555553</v>
      </c>
      <c r="B1342" s="7" t="str">
        <f>HYPERLINK("https://twitter.com/brubeaker","@brubeaker")</f>
        <v>@brubeaker</v>
      </c>
      <c r="C1342" s="8" t="s">
        <v>4939</v>
      </c>
      <c r="D1342" s="9" t="s">
        <v>4940</v>
      </c>
      <c r="E1342" s="10" t="str">
        <f>HYPERLINK("https://twitter.com/brubeaker/status/1070973212006248448","1070973212006248448")</f>
        <v>1070973212006248448</v>
      </c>
      <c r="F1342" s="12"/>
      <c r="G1342" s="12"/>
      <c r="H1342" s="12"/>
      <c r="I1342" s="13">
        <v>0</v>
      </c>
      <c r="J1342" s="13">
        <v>0</v>
      </c>
      <c r="K1342" s="14" t="str">
        <f t="shared" si="224"/>
        <v>Twitter Web Client</v>
      </c>
      <c r="L1342" s="13">
        <v>38</v>
      </c>
      <c r="M1342" s="13">
        <v>164</v>
      </c>
      <c r="N1342" s="13">
        <v>2</v>
      </c>
      <c r="O1342" s="15"/>
      <c r="P1342" s="6">
        <v>41780.336550925924</v>
      </c>
      <c r="Q1342" s="12"/>
      <c r="R1342" s="17" t="s">
        <v>4941</v>
      </c>
      <c r="S1342" s="12"/>
      <c r="T1342" s="12"/>
      <c r="U1342" s="10" t="str">
        <f>HYPERLINK("https://pbs.twimg.com/profile_images/1036025081179332608/VWYH9QdS.jpg","View")</f>
        <v>View</v>
      </c>
    </row>
    <row r="1343" spans="1:21" ht="51">
      <c r="A1343" s="6">
        <v>43441.436099537037</v>
      </c>
      <c r="B1343" s="7" t="str">
        <f>HYPERLINK("https://twitter.com/SocialistPrty","@SocialistPrty")</f>
        <v>@SocialistPrty</v>
      </c>
      <c r="C1343" s="8" t="s">
        <v>4942</v>
      </c>
      <c r="D1343" s="9" t="s">
        <v>4943</v>
      </c>
      <c r="E1343" s="10" t="str">
        <f>HYPERLINK("https://twitter.com/SocialistPrty/status/1070973184600625152","1070973184600625152")</f>
        <v>1070973184600625152</v>
      </c>
      <c r="F1343" s="11" t="s">
        <v>4944</v>
      </c>
      <c r="G1343" s="12"/>
      <c r="H1343" s="12"/>
      <c r="I1343" s="13">
        <v>0</v>
      </c>
      <c r="J1343" s="13">
        <v>0</v>
      </c>
      <c r="K1343" s="14" t="str">
        <f t="shared" si="224"/>
        <v>Twitter Web Client</v>
      </c>
      <c r="L1343" s="13">
        <v>5033</v>
      </c>
      <c r="M1343" s="13">
        <v>1692</v>
      </c>
      <c r="N1343" s="13">
        <v>31</v>
      </c>
      <c r="O1343" s="15"/>
      <c r="P1343" s="6">
        <v>40949.007037037038</v>
      </c>
      <c r="Q1343" s="16" t="s">
        <v>4945</v>
      </c>
      <c r="R1343" s="17" t="s">
        <v>4946</v>
      </c>
      <c r="S1343" s="12"/>
      <c r="T1343" s="12"/>
      <c r="U1343" s="10" t="str">
        <f>HYPERLINK("https://pbs.twimg.com/profile_images/908318674490204160/9k75R5S6.jpg","View")</f>
        <v>View</v>
      </c>
    </row>
    <row r="1344" spans="1:21" ht="40.799999999999997">
      <c r="A1344" s="6">
        <v>43441.433425925927</v>
      </c>
      <c r="B1344" s="7" t="str">
        <f>HYPERLINK("https://twitter.com/PepitaMenaMart1","@PepitaMenaMart1")</f>
        <v>@PepitaMenaMart1</v>
      </c>
      <c r="C1344" s="8" t="s">
        <v>2188</v>
      </c>
      <c r="D1344" s="9" t="s">
        <v>4947</v>
      </c>
      <c r="E1344" s="10" t="str">
        <f>HYPERLINK("https://twitter.com/PepitaMenaMart1/status/1070972216953765889","1070972216953765889")</f>
        <v>1070972216953765889</v>
      </c>
      <c r="F1344" s="11" t="s">
        <v>4948</v>
      </c>
      <c r="G1344" s="11" t="s">
        <v>4949</v>
      </c>
      <c r="H1344" s="12"/>
      <c r="I1344" s="13">
        <v>0</v>
      </c>
      <c r="J1344" s="13">
        <v>1</v>
      </c>
      <c r="K1344" s="14" t="str">
        <f>HYPERLINK("http://twitter.com/download/android","Twitter for Android")</f>
        <v>Twitter for Android</v>
      </c>
      <c r="L1344" s="13">
        <v>437</v>
      </c>
      <c r="M1344" s="13">
        <v>350</v>
      </c>
      <c r="N1344" s="13">
        <v>1</v>
      </c>
      <c r="O1344" s="15"/>
      <c r="P1344" s="6">
        <v>43124.888506944444</v>
      </c>
      <c r="Q1344" s="16" t="s">
        <v>2190</v>
      </c>
      <c r="R1344" s="17" t="s">
        <v>2191</v>
      </c>
      <c r="S1344" s="12"/>
      <c r="T1344" s="12"/>
      <c r="U1344" s="10" t="str">
        <f>HYPERLINK("https://pbs.twimg.com/profile_images/1053410905311064064/xChXdA8v.jpg","View")</f>
        <v>View</v>
      </c>
    </row>
    <row r="1345" spans="1:21" ht="30.6">
      <c r="A1345" s="6">
        <v>43441.433148148149</v>
      </c>
      <c r="B1345" s="7" t="str">
        <f>HYPERLINK("https://twitter.com/periodicovzlano","@periodicovzlano")</f>
        <v>@periodicovzlano</v>
      </c>
      <c r="C1345" s="8" t="s">
        <v>869</v>
      </c>
      <c r="D1345" s="9" t="s">
        <v>3001</v>
      </c>
      <c r="E1345" s="10" t="str">
        <f>HYPERLINK("https://twitter.com/periodicovzlano/status/1070972112666537984","1070972112666537984")</f>
        <v>1070972112666537984</v>
      </c>
      <c r="F1345" s="11" t="s">
        <v>2757</v>
      </c>
      <c r="G1345" s="11" t="s">
        <v>4950</v>
      </c>
      <c r="H1345" s="12"/>
      <c r="I1345" s="13">
        <v>0</v>
      </c>
      <c r="J1345" s="13">
        <v>0</v>
      </c>
      <c r="K1345" s="14" t="str">
        <f>HYPERLINK("http://epmundo.com","Tuiteo TOP EP (1)")</f>
        <v>Tuiteo TOP EP (1)</v>
      </c>
      <c r="L1345" s="13">
        <v>479694</v>
      </c>
      <c r="M1345" s="13">
        <v>358804</v>
      </c>
      <c r="N1345" s="13">
        <v>1295</v>
      </c>
      <c r="O1345" s="15"/>
      <c r="P1345" s="6">
        <v>40663.3512962963</v>
      </c>
      <c r="Q1345" s="16" t="s">
        <v>871</v>
      </c>
      <c r="R1345" s="17" t="s">
        <v>872</v>
      </c>
      <c r="S1345" s="11" t="s">
        <v>873</v>
      </c>
      <c r="T1345" s="12"/>
      <c r="U1345" s="10" t="str">
        <f>HYPERLINK("https://pbs.twimg.com/profile_images/958328579250638849/MCz7Q8U6.jpg","View")</f>
        <v>View</v>
      </c>
    </row>
    <row r="1346" spans="1:21" ht="40.799999999999997">
      <c r="A1346" s="6">
        <v>43441.432962962965</v>
      </c>
      <c r="B1346" s="7" t="str">
        <f>HYPERLINK("https://twitter.com/JesusOrtegaE","@JesusOrtegaE")</f>
        <v>@JesusOrtegaE</v>
      </c>
      <c r="C1346" s="8" t="s">
        <v>2927</v>
      </c>
      <c r="D1346" s="9" t="s">
        <v>4861</v>
      </c>
      <c r="E1346" s="10" t="str">
        <f>HYPERLINK("https://twitter.com/JesusOrtegaE/status/1070972046493057024","1070972046493057024")</f>
        <v>1070972046493057024</v>
      </c>
      <c r="F1346" s="11" t="s">
        <v>4951</v>
      </c>
      <c r="G1346" s="11" t="s">
        <v>4952</v>
      </c>
      <c r="H1346" s="12"/>
      <c r="I1346" s="13">
        <v>4</v>
      </c>
      <c r="J1346" s="13">
        <v>1</v>
      </c>
      <c r="K1346" s="14" t="str">
        <f>HYPERLINK("http://twitter.com","Twitter Web Client")</f>
        <v>Twitter Web Client</v>
      </c>
      <c r="L1346" s="13">
        <v>1015</v>
      </c>
      <c r="M1346" s="13">
        <v>906</v>
      </c>
      <c r="N1346" s="13">
        <v>52</v>
      </c>
      <c r="O1346" s="15"/>
      <c r="P1346" s="6">
        <v>40294.814687500002</v>
      </c>
      <c r="Q1346" s="12"/>
      <c r="R1346" s="17" t="s">
        <v>4953</v>
      </c>
      <c r="S1346" s="12"/>
      <c r="T1346" s="12"/>
      <c r="U1346" s="10" t="str">
        <f>HYPERLINK("https://pbs.twimg.com/profile_images/686624690882895872/zGQ0_CVq.jpg","View")</f>
        <v>View</v>
      </c>
    </row>
    <row r="1347" spans="1:21" ht="51">
      <c r="A1347" s="6">
        <v>43441.431238425925</v>
      </c>
      <c r="B1347" s="7" t="str">
        <f>HYPERLINK("https://twitter.com/eventosmadrid","@eventosmadrid")</f>
        <v>@eventosmadrid</v>
      </c>
      <c r="C1347" s="8" t="s">
        <v>2290</v>
      </c>
      <c r="D1347" s="9" t="s">
        <v>4954</v>
      </c>
      <c r="E1347" s="10" t="str">
        <f>HYPERLINK("https://twitter.com/eventosmadrid/status/1070971421122211840","1070971421122211840")</f>
        <v>1070971421122211840</v>
      </c>
      <c r="F1347" s="11" t="s">
        <v>4955</v>
      </c>
      <c r="G1347" s="11" t="s">
        <v>4956</v>
      </c>
      <c r="H1347" s="12"/>
      <c r="I1347" s="13">
        <v>0</v>
      </c>
      <c r="J1347" s="13">
        <v>0</v>
      </c>
      <c r="K1347" s="14" t="str">
        <f>HYPERLINK("https://dlvrit.com/","dlvr.it")</f>
        <v>dlvr.it</v>
      </c>
      <c r="L1347" s="13">
        <v>6782</v>
      </c>
      <c r="M1347" s="13">
        <v>4865</v>
      </c>
      <c r="N1347" s="13">
        <v>237</v>
      </c>
      <c r="O1347" s="15"/>
      <c r="P1347" s="6">
        <v>40619.348819444444</v>
      </c>
      <c r="Q1347" s="16" t="s">
        <v>200</v>
      </c>
      <c r="R1347" s="17" t="s">
        <v>2294</v>
      </c>
      <c r="S1347" s="12"/>
      <c r="T1347" s="12"/>
      <c r="U1347" s="10" t="str">
        <f>HYPERLINK("https://pbs.twimg.com/profile_images/1471313774/rock_rio_madrid.jpeg","View")</f>
        <v>View</v>
      </c>
    </row>
    <row r="1348" spans="1:21" ht="30.6">
      <c r="A1348" s="6">
        <v>43441.430914351848</v>
      </c>
      <c r="B1348" s="7" t="str">
        <f>HYPERLINK("https://twitter.com/sleepers_0","@sleepers_0")</f>
        <v>@sleepers_0</v>
      </c>
      <c r="C1348" s="8" t="s">
        <v>4957</v>
      </c>
      <c r="D1348" s="9" t="s">
        <v>4958</v>
      </c>
      <c r="E1348" s="10" t="str">
        <f>HYPERLINK("https://twitter.com/sleepers_0/status/1070971305376264192","1070971305376264192")</f>
        <v>1070971305376264192</v>
      </c>
      <c r="F1348" s="16" t="s">
        <v>4959</v>
      </c>
      <c r="G1348" s="12"/>
      <c r="H1348" s="12"/>
      <c r="I1348" s="13">
        <v>0</v>
      </c>
      <c r="J1348" s="13">
        <v>0</v>
      </c>
      <c r="K1348" s="14" t="str">
        <f t="shared" ref="K1348:K1350" si="225">HYPERLINK("http://twitter.com/download/android","Twitter for Android")</f>
        <v>Twitter for Android</v>
      </c>
      <c r="L1348" s="13">
        <v>545</v>
      </c>
      <c r="M1348" s="13">
        <v>541</v>
      </c>
      <c r="N1348" s="13">
        <v>5</v>
      </c>
      <c r="O1348" s="15"/>
      <c r="P1348" s="6">
        <v>41826.580416666664</v>
      </c>
      <c r="Q1348" s="12"/>
      <c r="R1348" s="19"/>
      <c r="S1348" s="12"/>
      <c r="T1348" s="12"/>
      <c r="U1348" s="10" t="str">
        <f>HYPERLINK("https://pbs.twimg.com/profile_images/562000920494739457/t_VeZJTN.jpeg","View")</f>
        <v>View</v>
      </c>
    </row>
    <row r="1349" spans="1:21" ht="20.399999999999999">
      <c r="A1349" s="6">
        <v>43441.430266203708</v>
      </c>
      <c r="B1349" s="7" t="str">
        <f>HYPERLINK("https://twitter.com/sergio_SLA","@sergio_SLA")</f>
        <v>@sergio_SLA</v>
      </c>
      <c r="C1349" s="8" t="s">
        <v>4960</v>
      </c>
      <c r="D1349" s="9" t="s">
        <v>4961</v>
      </c>
      <c r="E1349" s="10" t="str">
        <f>HYPERLINK("https://twitter.com/sergio_SLA/status/1070971069211832321","1070971069211832321")</f>
        <v>1070971069211832321</v>
      </c>
      <c r="F1349" s="12"/>
      <c r="G1349" s="11" t="s">
        <v>4962</v>
      </c>
      <c r="H1349" s="12"/>
      <c r="I1349" s="13">
        <v>0</v>
      </c>
      <c r="J1349" s="13">
        <v>0</v>
      </c>
      <c r="K1349" s="14" t="str">
        <f t="shared" si="225"/>
        <v>Twitter for Android</v>
      </c>
      <c r="L1349" s="13">
        <v>274</v>
      </c>
      <c r="M1349" s="13">
        <v>1055</v>
      </c>
      <c r="N1349" s="13">
        <v>11</v>
      </c>
      <c r="O1349" s="15"/>
      <c r="P1349" s="6">
        <v>40438.738263888888</v>
      </c>
      <c r="Q1349" s="16" t="s">
        <v>1336</v>
      </c>
      <c r="R1349" s="17" t="s">
        <v>4963</v>
      </c>
      <c r="S1349" s="11" t="s">
        <v>4964</v>
      </c>
      <c r="T1349" s="12"/>
      <c r="U1349" s="10" t="str">
        <f>HYPERLINK("https://pbs.twimg.com/profile_images/996493369743429632/3FT7UimE.jpg","View")</f>
        <v>View</v>
      </c>
    </row>
    <row r="1350" spans="1:21" ht="30.6">
      <c r="A1350" s="6">
        <v>43441.429062499999</v>
      </c>
      <c r="B1350" s="7" t="str">
        <f>HYPERLINK("https://twitter.com/RojoCabreado","@RojoCabreado")</f>
        <v>@RojoCabreado</v>
      </c>
      <c r="C1350" s="8" t="s">
        <v>4965</v>
      </c>
      <c r="D1350" s="9" t="s">
        <v>4966</v>
      </c>
      <c r="E1350" s="10" t="str">
        <f>HYPERLINK("https://twitter.com/RojoCabreado/status/1070970634782547968","1070970634782547968")</f>
        <v>1070970634782547968</v>
      </c>
      <c r="F1350" s="11" t="s">
        <v>1185</v>
      </c>
      <c r="G1350" s="12"/>
      <c r="H1350" s="12"/>
      <c r="I1350" s="13">
        <v>0</v>
      </c>
      <c r="J1350" s="13">
        <v>0</v>
      </c>
      <c r="K1350" s="14" t="str">
        <f t="shared" si="225"/>
        <v>Twitter for Android</v>
      </c>
      <c r="L1350" s="13">
        <v>5512</v>
      </c>
      <c r="M1350" s="13">
        <v>41</v>
      </c>
      <c r="N1350" s="13">
        <v>99</v>
      </c>
      <c r="O1350" s="15"/>
      <c r="P1350" s="6">
        <v>40913.573425925926</v>
      </c>
      <c r="Q1350" s="16" t="s">
        <v>4967</v>
      </c>
      <c r="R1350" s="17" t="s">
        <v>4968</v>
      </c>
      <c r="S1350" s="11" t="s">
        <v>4969</v>
      </c>
      <c r="T1350" s="12"/>
      <c r="U1350" s="10" t="str">
        <f>HYPERLINK("https://pbs.twimg.com/profile_images/918770347024924672/N-rAQXof.jpg","View")</f>
        <v>View</v>
      </c>
    </row>
    <row r="1351" spans="1:21" ht="30.6">
      <c r="A1351" s="6">
        <v>43441.428738425922</v>
      </c>
      <c r="B1351" s="7" t="str">
        <f>HYPERLINK("https://twitter.com/elprogramadear","@elprogramadear")</f>
        <v>@elprogramadear</v>
      </c>
      <c r="C1351" s="8" t="s">
        <v>4970</v>
      </c>
      <c r="D1351" s="9" t="s">
        <v>4971</v>
      </c>
      <c r="E1351" s="10" t="str">
        <f>HYPERLINK("https://twitter.com/elprogramadear/status/1070970517279125504","1070970517279125504")</f>
        <v>1070970517279125504</v>
      </c>
      <c r="F1351" s="11" t="s">
        <v>4972</v>
      </c>
      <c r="G1351" s="11" t="s">
        <v>4973</v>
      </c>
      <c r="H1351" s="12"/>
      <c r="I1351" s="13">
        <v>7</v>
      </c>
      <c r="J1351" s="13">
        <v>3</v>
      </c>
      <c r="K1351" s="14" t="str">
        <f>HYPERLINK("https://about.twitter.com/products/tweetdeck","TweetDeck")</f>
        <v>TweetDeck</v>
      </c>
      <c r="L1351" s="13">
        <v>261943</v>
      </c>
      <c r="M1351" s="13">
        <v>425</v>
      </c>
      <c r="N1351" s="13">
        <v>722</v>
      </c>
      <c r="O1351" s="18" t="s">
        <v>41</v>
      </c>
      <c r="P1351" s="6">
        <v>40589.664733796293</v>
      </c>
      <c r="Q1351" s="16" t="s">
        <v>4974</v>
      </c>
      <c r="R1351" s="17" t="s">
        <v>4975</v>
      </c>
      <c r="S1351" s="11" t="s">
        <v>4976</v>
      </c>
      <c r="T1351" s="12"/>
      <c r="U1351" s="10" t="str">
        <f>HYPERLINK("https://pbs.twimg.com/profile_images/1038202480704872448/XwU_Ptt1.jpg","View")</f>
        <v>View</v>
      </c>
    </row>
    <row r="1352" spans="1:21" ht="30.6">
      <c r="A1352" s="6">
        <v>43441.42868055556</v>
      </c>
      <c r="B1352" s="7" t="str">
        <f>HYPERLINK("https://twitter.com/ldtv","@ldtv")</f>
        <v>@ldtv</v>
      </c>
      <c r="C1352" s="8" t="s">
        <v>4977</v>
      </c>
      <c r="D1352" s="9" t="s">
        <v>3856</v>
      </c>
      <c r="E1352" s="10" t="str">
        <f>HYPERLINK("https://twitter.com/ldtv/status/1070970494340468737","1070970494340468737")</f>
        <v>1070970494340468737</v>
      </c>
      <c r="F1352" s="11" t="s">
        <v>4978</v>
      </c>
      <c r="G1352" s="12"/>
      <c r="H1352" s="12"/>
      <c r="I1352" s="13">
        <v>9</v>
      </c>
      <c r="J1352" s="13">
        <v>7</v>
      </c>
      <c r="K1352" s="14" t="str">
        <f>HYPERLINK("http://www.facebook.com/twitter","Facebook")</f>
        <v>Facebook</v>
      </c>
      <c r="L1352" s="13">
        <v>26773</v>
      </c>
      <c r="M1352" s="13">
        <v>49</v>
      </c>
      <c r="N1352" s="13">
        <v>535</v>
      </c>
      <c r="O1352" s="15"/>
      <c r="P1352" s="6">
        <v>39488.167442129634</v>
      </c>
      <c r="Q1352" s="16" t="s">
        <v>119</v>
      </c>
      <c r="R1352" s="17" t="s">
        <v>4979</v>
      </c>
      <c r="S1352" s="11" t="s">
        <v>4980</v>
      </c>
      <c r="T1352" s="12"/>
      <c r="U1352" s="10" t="str">
        <f>HYPERLINK("https://pbs.twimg.com/profile_images/453930376142938112/EZlCzCGM.jpeg","View")</f>
        <v>View</v>
      </c>
    </row>
    <row r="1353" spans="1:21" ht="40.799999999999997">
      <c r="A1353" s="6">
        <v>43441.427928240737</v>
      </c>
      <c r="B1353" s="7" t="str">
        <f>HYPERLINK("https://twitter.com/inmoaverycom","@inmoaverycom")</f>
        <v>@inmoaverycom</v>
      </c>
      <c r="C1353" s="20" t="s">
        <v>4268</v>
      </c>
      <c r="D1353" s="9" t="s">
        <v>4981</v>
      </c>
      <c r="E1353" s="10" t="str">
        <f>HYPERLINK("https://twitter.com/inmoaverycom/status/1070970223661105153","1070970223661105153")</f>
        <v>1070970223661105153</v>
      </c>
      <c r="F1353" s="11" t="s">
        <v>4611</v>
      </c>
      <c r="G1353" s="12"/>
      <c r="H1353" s="12"/>
      <c r="I1353" s="13">
        <v>0</v>
      </c>
      <c r="J1353" s="13">
        <v>0</v>
      </c>
      <c r="K1353" s="14" t="str">
        <f>HYPERLINK("http://twitter.com","Twitter Web Client")</f>
        <v>Twitter Web Client</v>
      </c>
      <c r="L1353" s="13">
        <v>769</v>
      </c>
      <c r="M1353" s="13">
        <v>1966</v>
      </c>
      <c r="N1353" s="13">
        <v>11</v>
      </c>
      <c r="O1353" s="15"/>
      <c r="P1353" s="6">
        <v>40871.533506944441</v>
      </c>
      <c r="Q1353" s="16" t="s">
        <v>4271</v>
      </c>
      <c r="R1353" s="17" t="s">
        <v>4272</v>
      </c>
      <c r="S1353" s="11" t="s">
        <v>4273</v>
      </c>
      <c r="T1353" s="12"/>
      <c r="U1353" s="10" t="str">
        <f>HYPERLINK("https://pbs.twimg.com/profile_images/537680086862798848/f8XEPU_F.jpeg","View")</f>
        <v>View</v>
      </c>
    </row>
    <row r="1354" spans="1:21" ht="30.6">
      <c r="A1354" s="6">
        <v>43441.42769675926</v>
      </c>
      <c r="B1354" s="7" t="str">
        <f>HYPERLINK("https://twitter.com/InteriorNoticia","@InteriorNoticia")</f>
        <v>@InteriorNoticia</v>
      </c>
      <c r="C1354" s="8" t="s">
        <v>4982</v>
      </c>
      <c r="D1354" s="9" t="s">
        <v>4983</v>
      </c>
      <c r="E1354" s="10" t="str">
        <f>HYPERLINK("https://twitter.com/InteriorNoticia/status/1070970137266802689","1070970137266802689")</f>
        <v>1070970137266802689</v>
      </c>
      <c r="F1354" s="11" t="s">
        <v>4985</v>
      </c>
      <c r="G1354" s="12"/>
      <c r="H1354" s="12"/>
      <c r="I1354" s="13">
        <v>0</v>
      </c>
      <c r="J1354" s="13">
        <v>0</v>
      </c>
      <c r="K1354" s="14" t="str">
        <f>HYPERLINK("http://www.diariosur.es/interior/","Interior Noticias")</f>
        <v>Interior Noticias</v>
      </c>
      <c r="L1354" s="13">
        <v>48</v>
      </c>
      <c r="M1354" s="13">
        <v>4</v>
      </c>
      <c r="N1354" s="13">
        <v>0</v>
      </c>
      <c r="O1354" s="15"/>
      <c r="P1354" s="6">
        <v>43066.463726851856</v>
      </c>
      <c r="Q1354" s="16" t="s">
        <v>427</v>
      </c>
      <c r="R1354" s="19"/>
      <c r="S1354" s="12"/>
      <c r="T1354" s="12"/>
      <c r="U1354" s="10" t="str">
        <f>HYPERLINK("https://pbs.twimg.com/profile_images/945617722678874112/_710pINI.jpg","View")</f>
        <v>View</v>
      </c>
    </row>
    <row r="1355" spans="1:21" ht="30.6">
      <c r="A1355" s="6">
        <v>43441.427453703705</v>
      </c>
      <c r="B1355" s="7" t="str">
        <f>HYPERLINK("https://twitter.com/osfernand","@osfernand")</f>
        <v>@osfernand</v>
      </c>
      <c r="C1355" s="8" t="s">
        <v>4989</v>
      </c>
      <c r="D1355" s="9" t="s">
        <v>4990</v>
      </c>
      <c r="E1355" s="10" t="str">
        <f>HYPERLINK("https://twitter.com/osfernand/status/1070970052646719488","1070970052646719488")</f>
        <v>1070970052646719488</v>
      </c>
      <c r="F1355" s="12"/>
      <c r="G1355" s="11" t="s">
        <v>4991</v>
      </c>
      <c r="H1355" s="12"/>
      <c r="I1355" s="13">
        <v>0</v>
      </c>
      <c r="J1355" s="13">
        <v>0</v>
      </c>
      <c r="K1355" s="14" t="str">
        <f>HYPERLINK("http://twitter.com","Twitter Web Client")</f>
        <v>Twitter Web Client</v>
      </c>
      <c r="L1355" s="13">
        <v>410</v>
      </c>
      <c r="M1355" s="13">
        <v>663</v>
      </c>
      <c r="N1355" s="13">
        <v>10</v>
      </c>
      <c r="O1355" s="15"/>
      <c r="P1355" s="6">
        <v>40470.837974537033</v>
      </c>
      <c r="Q1355" s="12"/>
      <c r="R1355" s="17" t="s">
        <v>4992</v>
      </c>
      <c r="S1355" s="12"/>
      <c r="T1355" s="12"/>
      <c r="U1355" s="10" t="str">
        <f>HYPERLINK("https://pbs.twimg.com/profile_images/901499448500641793/W-Nd04I1.jpg","View")</f>
        <v>View</v>
      </c>
    </row>
    <row r="1356" spans="1:21" ht="81.599999999999994">
      <c r="A1356" s="6">
        <v>43441.427083333328</v>
      </c>
      <c r="B1356" s="7" t="str">
        <f>HYPERLINK("https://twitter.com/Josep08191700","@Josep08191700")</f>
        <v>@Josep08191700</v>
      </c>
      <c r="C1356" s="8" t="s">
        <v>4993</v>
      </c>
      <c r="D1356" s="9" t="s">
        <v>4994</v>
      </c>
      <c r="E1356" s="10" t="str">
        <f>HYPERLINK("https://twitter.com/Josep08191700/status/1070969917862748160","1070969917862748160")</f>
        <v>1070969917862748160</v>
      </c>
      <c r="F1356" s="16" t="s">
        <v>4995</v>
      </c>
      <c r="G1356" s="12"/>
      <c r="H1356" s="12"/>
      <c r="I1356" s="13">
        <v>0</v>
      </c>
      <c r="J1356" s="13">
        <v>0</v>
      </c>
      <c r="K1356" s="14" t="str">
        <f>HYPERLINK("https://mobile.twitter.com","Twitter Lite")</f>
        <v>Twitter Lite</v>
      </c>
      <c r="L1356" s="13">
        <v>141</v>
      </c>
      <c r="M1356" s="13">
        <v>185</v>
      </c>
      <c r="N1356" s="13">
        <v>0</v>
      </c>
      <c r="O1356" s="15"/>
      <c r="P1356" s="6">
        <v>43359.608634259261</v>
      </c>
      <c r="Q1356" s="12"/>
      <c r="R1356" s="17" t="s">
        <v>4996</v>
      </c>
      <c r="S1356" s="12"/>
      <c r="T1356" s="12"/>
      <c r="U1356" s="10" t="str">
        <f>HYPERLINK("https://pbs.twimg.com/profile_images/1042087291416653824/rqJrX_kO.jpg","View")</f>
        <v>View</v>
      </c>
    </row>
    <row r="1357" spans="1:21" ht="30.6">
      <c r="A1357" s="6">
        <v>43441.42701388889</v>
      </c>
      <c r="B1357" s="7" t="str">
        <f>HYPERLINK("https://twitter.com/sedlr_","@sedlr_")</f>
        <v>@sedlr_</v>
      </c>
      <c r="C1357" s="8" t="s">
        <v>4997</v>
      </c>
      <c r="D1357" s="9" t="s">
        <v>4998</v>
      </c>
      <c r="E1357" s="10" t="str">
        <f>HYPERLINK("https://twitter.com/sedlr_/status/1070969891405119488","1070969891405119488")</f>
        <v>1070969891405119488</v>
      </c>
      <c r="F1357" s="12"/>
      <c r="G1357" s="12"/>
      <c r="H1357" s="12"/>
      <c r="I1357" s="13">
        <v>5</v>
      </c>
      <c r="J1357" s="13">
        <v>11</v>
      </c>
      <c r="K1357" s="14" t="str">
        <f>HYPERLINK("http://twitter.com/download/android","Twitter for Android")</f>
        <v>Twitter for Android</v>
      </c>
      <c r="L1357" s="13">
        <v>8639</v>
      </c>
      <c r="M1357" s="13">
        <v>7892</v>
      </c>
      <c r="N1357" s="13">
        <v>30</v>
      </c>
      <c r="O1357" s="15"/>
      <c r="P1357" s="6">
        <v>41250.693912037037</v>
      </c>
      <c r="Q1357" s="16" t="s">
        <v>4999</v>
      </c>
      <c r="R1357" s="19"/>
      <c r="S1357" s="12"/>
      <c r="T1357" s="12"/>
      <c r="U1357" s="10" t="str">
        <f>HYPERLINK("https://pbs.twimg.com/profile_images/1026984752270782464/dquFa8_K.jpg","View")</f>
        <v>View</v>
      </c>
    </row>
    <row r="1358" spans="1:21" ht="20.399999999999999">
      <c r="A1358" s="6">
        <v>43441.426250000004</v>
      </c>
      <c r="B1358" s="7" t="str">
        <f>HYPERLINK("https://twitter.com/septiembre25096","@septiembre25096")</f>
        <v>@septiembre25096</v>
      </c>
      <c r="C1358" s="8" t="s">
        <v>5000</v>
      </c>
      <c r="D1358" s="9" t="s">
        <v>4416</v>
      </c>
      <c r="E1358" s="10" t="str">
        <f>HYPERLINK("https://twitter.com/septiembre25096/status/1070969616149741568","1070969616149741568")</f>
        <v>1070969616149741568</v>
      </c>
      <c r="F1358" s="11" t="s">
        <v>5001</v>
      </c>
      <c r="G1358" s="12"/>
      <c r="H1358" s="12"/>
      <c r="I1358" s="13">
        <v>0</v>
      </c>
      <c r="J1358" s="13">
        <v>0</v>
      </c>
      <c r="K1358" s="14" t="str">
        <f>HYPERLINK("http://twitter.com","Twitter Web Client")</f>
        <v>Twitter Web Client</v>
      </c>
      <c r="L1358" s="13">
        <v>365</v>
      </c>
      <c r="M1358" s="13">
        <v>610</v>
      </c>
      <c r="N1358" s="13">
        <v>5</v>
      </c>
      <c r="O1358" s="15"/>
      <c r="P1358" s="6">
        <v>40478.624560185184</v>
      </c>
      <c r="Q1358" s="16" t="s">
        <v>5002</v>
      </c>
      <c r="R1358" s="17" t="s">
        <v>5003</v>
      </c>
      <c r="S1358" s="12"/>
      <c r="T1358" s="12"/>
      <c r="U1358" s="10" t="str">
        <f>HYPERLINK("https://pbs.twimg.com/profile_images/1015134002741678080/bkTZP1uV.jpg","View")</f>
        <v>View</v>
      </c>
    </row>
    <row r="1359" spans="1:21" ht="30.6">
      <c r="A1359" s="6">
        <v>43441.426099537042</v>
      </c>
      <c r="B1359" s="7" t="str">
        <f>HYPERLINK("https://twitter.com/antoniobaquerop","@antoniobaquerop")</f>
        <v>@antoniobaquerop</v>
      </c>
      <c r="C1359" s="8" t="s">
        <v>5004</v>
      </c>
      <c r="D1359" s="9" t="s">
        <v>5005</v>
      </c>
      <c r="E1359" s="10" t="str">
        <f>HYPERLINK("https://twitter.com/antoniobaquerop/status/1070969560050950144","1070969560050950144")</f>
        <v>1070969560050950144</v>
      </c>
      <c r="F1359" s="11" t="s">
        <v>5006</v>
      </c>
      <c r="G1359" s="12"/>
      <c r="H1359" s="12"/>
      <c r="I1359" s="13">
        <v>0</v>
      </c>
      <c r="J1359" s="13">
        <v>0</v>
      </c>
      <c r="K1359" s="14" t="str">
        <f t="shared" ref="K1359:K1360" si="226">HYPERLINK("http://twitter.com/download/android","Twitter for Android")</f>
        <v>Twitter for Android</v>
      </c>
      <c r="L1359" s="13">
        <v>74</v>
      </c>
      <c r="M1359" s="13">
        <v>69</v>
      </c>
      <c r="N1359" s="13">
        <v>1</v>
      </c>
      <c r="O1359" s="15"/>
      <c r="P1359" s="6">
        <v>41942.963750000003</v>
      </c>
      <c r="Q1359" s="12"/>
      <c r="R1359" s="19"/>
      <c r="S1359" s="12"/>
      <c r="T1359" s="12"/>
      <c r="U1359" s="10" t="str">
        <f>HYPERLINK("https://pbs.twimg.com/profile_images/527945441313570816/u3hRhcfw.jpeg","View")</f>
        <v>View</v>
      </c>
    </row>
    <row r="1360" spans="1:21" ht="40.799999999999997">
      <c r="A1360" s="6">
        <v>43441.425949074073</v>
      </c>
      <c r="B1360" s="7" t="str">
        <f>HYPERLINK("https://twitter.com/Pulitologu","@Pulitologu")</f>
        <v>@Pulitologu</v>
      </c>
      <c r="C1360" s="8" t="s">
        <v>5007</v>
      </c>
      <c r="D1360" s="9" t="s">
        <v>5008</v>
      </c>
      <c r="E1360" s="10" t="str">
        <f>HYPERLINK("https://twitter.com/Pulitologu/status/1070969506368024576","1070969506368024576")</f>
        <v>1070969506368024576</v>
      </c>
      <c r="F1360" s="12"/>
      <c r="G1360" s="12"/>
      <c r="H1360" s="12"/>
      <c r="I1360" s="13">
        <v>0</v>
      </c>
      <c r="J1360" s="13">
        <v>1</v>
      </c>
      <c r="K1360" s="14" t="str">
        <f t="shared" si="226"/>
        <v>Twitter for Android</v>
      </c>
      <c r="L1360" s="13">
        <v>1839</v>
      </c>
      <c r="M1360" s="13">
        <v>2927</v>
      </c>
      <c r="N1360" s="13">
        <v>20</v>
      </c>
      <c r="O1360" s="15"/>
      <c r="P1360" s="6">
        <v>40373.892974537041</v>
      </c>
      <c r="Q1360" s="16" t="s">
        <v>5009</v>
      </c>
      <c r="R1360" s="17" t="s">
        <v>5010</v>
      </c>
      <c r="S1360" s="12"/>
      <c r="T1360" s="12"/>
      <c r="U1360" s="10" t="str">
        <f>HYPERLINK("https://pbs.twimg.com/profile_images/1046491921542197248/F1S1FAEI.jpg","View")</f>
        <v>View</v>
      </c>
    </row>
    <row r="1361" spans="1:21" ht="20.399999999999999">
      <c r="A1361" s="6">
        <v>43441.425833333335</v>
      </c>
      <c r="B1361" s="7" t="str">
        <f>HYPERLINK("https://twitter.com/zamozu","@zamozu")</f>
        <v>@zamozu</v>
      </c>
      <c r="C1361" s="8" t="s">
        <v>2879</v>
      </c>
      <c r="D1361" s="9" t="s">
        <v>5011</v>
      </c>
      <c r="E1361" s="10" t="str">
        <f>HYPERLINK("https://twitter.com/zamozu/status/1070969464546570240","1070969464546570240")</f>
        <v>1070969464546570240</v>
      </c>
      <c r="F1361" s="11" t="s">
        <v>2881</v>
      </c>
      <c r="G1361" s="12"/>
      <c r="H1361" s="12"/>
      <c r="I1361" s="13">
        <v>0</v>
      </c>
      <c r="J1361" s="13">
        <v>0</v>
      </c>
      <c r="K1361" s="14" t="str">
        <f>HYPERLINK("http://twitter.com","Twitter Web Client")</f>
        <v>Twitter Web Client</v>
      </c>
      <c r="L1361" s="13">
        <v>624</v>
      </c>
      <c r="M1361" s="13">
        <v>1496</v>
      </c>
      <c r="N1361" s="13">
        <v>2</v>
      </c>
      <c r="O1361" s="15"/>
      <c r="P1361" s="6">
        <v>40641.783576388887</v>
      </c>
      <c r="Q1361" s="16" t="s">
        <v>60</v>
      </c>
      <c r="R1361" s="17" t="s">
        <v>2882</v>
      </c>
      <c r="S1361" s="11" t="s">
        <v>2883</v>
      </c>
      <c r="T1361" s="12"/>
      <c r="U1361" s="10" t="str">
        <f>HYPERLINK("https://pbs.twimg.com/profile_images/1877270561/09.jpg","View")</f>
        <v>View</v>
      </c>
    </row>
    <row r="1362" spans="1:21" ht="20.399999999999999">
      <c r="A1362" s="6">
        <v>43441.425208333334</v>
      </c>
      <c r="B1362" s="7" t="str">
        <f>HYPERLINK("https://twitter.com/contraengranaje","@contraengranaje")</f>
        <v>@contraengranaje</v>
      </c>
      <c r="C1362" s="8" t="s">
        <v>5012</v>
      </c>
      <c r="D1362" s="9" t="s">
        <v>5013</v>
      </c>
      <c r="E1362" s="10" t="str">
        <f>HYPERLINK("https://twitter.com/contraengranaje/status/1070969238339379200","1070969238339379200")</f>
        <v>1070969238339379200</v>
      </c>
      <c r="F1362" s="11" t="s">
        <v>398</v>
      </c>
      <c r="G1362" s="12"/>
      <c r="H1362" s="12"/>
      <c r="I1362" s="13">
        <v>0</v>
      </c>
      <c r="J1362" s="13">
        <v>0</v>
      </c>
      <c r="K1362" s="14" t="str">
        <f>HYPERLINK("http://twitter.com/download/android","Twitter for Android")</f>
        <v>Twitter for Android</v>
      </c>
      <c r="L1362" s="13">
        <v>53</v>
      </c>
      <c r="M1362" s="13">
        <v>616</v>
      </c>
      <c r="N1362" s="13">
        <v>6</v>
      </c>
      <c r="O1362" s="15"/>
      <c r="P1362" s="6">
        <v>39714.489120370374</v>
      </c>
      <c r="Q1362" s="16" t="s">
        <v>5014</v>
      </c>
      <c r="R1362" s="17" t="s">
        <v>5015</v>
      </c>
      <c r="S1362" s="12"/>
      <c r="T1362" s="12"/>
      <c r="U1362" s="10" t="str">
        <f>HYPERLINK("https://pbs.twimg.com/profile_images/557648502658854912/63LSaFFb.jpeg","View")</f>
        <v>View</v>
      </c>
    </row>
    <row r="1363" spans="1:21" ht="51">
      <c r="A1363" s="6">
        <v>43441.424189814818</v>
      </c>
      <c r="B1363" s="7" t="str">
        <f>HYPERLINK("https://twitter.com/brubeaker","@brubeaker")</f>
        <v>@brubeaker</v>
      </c>
      <c r="C1363" s="8" t="s">
        <v>4939</v>
      </c>
      <c r="D1363" s="9" t="s">
        <v>5016</v>
      </c>
      <c r="E1363" s="10" t="str">
        <f>HYPERLINK("https://twitter.com/brubeaker/status/1070968868665987072","1070968868665987072")</f>
        <v>1070968868665987072</v>
      </c>
      <c r="F1363" s="12"/>
      <c r="G1363" s="12"/>
      <c r="H1363" s="12"/>
      <c r="I1363" s="13">
        <v>0</v>
      </c>
      <c r="J1363" s="13">
        <v>0</v>
      </c>
      <c r="K1363" s="14" t="str">
        <f>HYPERLINK("http://twitter.com","Twitter Web Client")</f>
        <v>Twitter Web Client</v>
      </c>
      <c r="L1363" s="13">
        <v>38</v>
      </c>
      <c r="M1363" s="13">
        <v>164</v>
      </c>
      <c r="N1363" s="13">
        <v>2</v>
      </c>
      <c r="O1363" s="15"/>
      <c r="P1363" s="6">
        <v>41780.336550925924</v>
      </c>
      <c r="Q1363" s="12"/>
      <c r="R1363" s="17" t="s">
        <v>4941</v>
      </c>
      <c r="S1363" s="12"/>
      <c r="T1363" s="12"/>
      <c r="U1363" s="10" t="str">
        <f>HYPERLINK("https://pbs.twimg.com/profile_images/1036025081179332608/VWYH9QdS.jpg","View")</f>
        <v>View</v>
      </c>
    </row>
    <row r="1364" spans="1:21" ht="20.399999999999999">
      <c r="A1364" s="6">
        <v>43441.423958333333</v>
      </c>
      <c r="B1364" s="7" t="str">
        <f>HYPERLINK("https://twitter.com/Carolina_hues","@Carolina_hues")</f>
        <v>@Carolina_hues</v>
      </c>
      <c r="C1364" s="8" t="s">
        <v>5017</v>
      </c>
      <c r="D1364" s="9" t="s">
        <v>5018</v>
      </c>
      <c r="E1364" s="10" t="str">
        <f>HYPERLINK("https://twitter.com/Carolina_hues/status/1070968782846349318","1070968782846349318")</f>
        <v>1070968782846349318</v>
      </c>
      <c r="F1364" s="11" t="s">
        <v>115</v>
      </c>
      <c r="G1364" s="12"/>
      <c r="H1364" s="12"/>
      <c r="I1364" s="13">
        <v>0</v>
      </c>
      <c r="J1364" s="13">
        <v>0</v>
      </c>
      <c r="K1364" s="14" t="str">
        <f>HYPERLINK("http://twitter.com/download/android","Twitter for Android")</f>
        <v>Twitter for Android</v>
      </c>
      <c r="L1364" s="13">
        <v>1220</v>
      </c>
      <c r="M1364" s="13">
        <v>1181</v>
      </c>
      <c r="N1364" s="13">
        <v>3</v>
      </c>
      <c r="O1364" s="15"/>
      <c r="P1364" s="6">
        <v>43330.650254629625</v>
      </c>
      <c r="Q1364" s="16" t="s">
        <v>26</v>
      </c>
      <c r="R1364" s="19"/>
      <c r="S1364" s="12"/>
      <c r="T1364" s="12"/>
      <c r="U1364" s="10" t="str">
        <f>HYPERLINK("https://pbs.twimg.com/profile_images/1044941646180306945/NMmkW4X5.jpg","View")</f>
        <v>View</v>
      </c>
    </row>
    <row r="1365" spans="1:21" ht="40.799999999999997">
      <c r="A1365" s="6">
        <v>43441.423344907409</v>
      </c>
      <c r="B1365" s="7" t="str">
        <f>HYPERLINK("https://twitter.com/MeigaCata","@MeigaCata")</f>
        <v>@MeigaCata</v>
      </c>
      <c r="C1365" s="8" t="s">
        <v>5019</v>
      </c>
      <c r="D1365" s="9" t="s">
        <v>5020</v>
      </c>
      <c r="E1365" s="10" t="str">
        <f>HYPERLINK("https://twitter.com/MeigaCata/status/1070968562133684224","1070968562133684224")</f>
        <v>1070968562133684224</v>
      </c>
      <c r="F1365" s="16" t="s">
        <v>5021</v>
      </c>
      <c r="G1365" s="12"/>
      <c r="H1365" s="12"/>
      <c r="I1365" s="13">
        <v>0</v>
      </c>
      <c r="J1365" s="13">
        <v>0</v>
      </c>
      <c r="K1365" s="14" t="str">
        <f t="shared" ref="K1365:K1366" si="227">HYPERLINK("http://twitter.com/download/iphone","Twitter for iPhone")</f>
        <v>Twitter for iPhone</v>
      </c>
      <c r="L1365" s="13">
        <v>527</v>
      </c>
      <c r="M1365" s="13">
        <v>1563</v>
      </c>
      <c r="N1365" s="13">
        <v>3</v>
      </c>
      <c r="O1365" s="15"/>
      <c r="P1365" s="6">
        <v>40366.889363425929</v>
      </c>
      <c r="Q1365" s="16" t="s">
        <v>200</v>
      </c>
      <c r="R1365" s="17" t="s">
        <v>5022</v>
      </c>
      <c r="S1365" s="12"/>
      <c r="T1365" s="12"/>
      <c r="U1365" s="10" t="str">
        <f>HYPERLINK("https://pbs.twimg.com/profile_images/1066252399034146816/9yBodDem.jpg","View")</f>
        <v>View</v>
      </c>
    </row>
    <row r="1366" spans="1:21" ht="20.399999999999999">
      <c r="A1366" s="6">
        <v>43441.423113425924</v>
      </c>
      <c r="B1366" s="7" t="str">
        <f>HYPERLINK("https://twitter.com/lolapastur","@lolapastur")</f>
        <v>@lolapastur</v>
      </c>
      <c r="C1366" s="8" t="s">
        <v>3168</v>
      </c>
      <c r="D1366" s="9" t="s">
        <v>5023</v>
      </c>
      <c r="E1366" s="10" t="str">
        <f>HYPERLINK("https://twitter.com/lolapastur/status/1070968479027773443","1070968479027773443")</f>
        <v>1070968479027773443</v>
      </c>
      <c r="F1366" s="11" t="s">
        <v>4280</v>
      </c>
      <c r="G1366" s="12"/>
      <c r="H1366" s="12"/>
      <c r="I1366" s="13">
        <v>2</v>
      </c>
      <c r="J1366" s="13">
        <v>2</v>
      </c>
      <c r="K1366" s="14" t="str">
        <f t="shared" si="227"/>
        <v>Twitter for iPhone</v>
      </c>
      <c r="L1366" s="13">
        <v>3784</v>
      </c>
      <c r="M1366" s="13">
        <v>2833</v>
      </c>
      <c r="N1366" s="13">
        <v>33</v>
      </c>
      <c r="O1366" s="15"/>
      <c r="P1366" s="6">
        <v>40913.599293981482</v>
      </c>
      <c r="Q1366" s="12"/>
      <c r="R1366" s="17" t="s">
        <v>3170</v>
      </c>
      <c r="S1366" s="12"/>
      <c r="T1366" s="12"/>
      <c r="U1366" s="10" t="str">
        <f>HYPERLINK("https://pbs.twimg.com/profile_images/934821295736451073/tnymHvNj.jpg","View")</f>
        <v>View</v>
      </c>
    </row>
    <row r="1367" spans="1:21" ht="71.400000000000006">
      <c r="A1367" s="6">
        <v>43441.423113425924</v>
      </c>
      <c r="B1367" s="7" t="str">
        <f>HYPERLINK("https://twitter.com/juberi85","@juberi85")</f>
        <v>@juberi85</v>
      </c>
      <c r="C1367" s="8" t="s">
        <v>5024</v>
      </c>
      <c r="D1367" s="9" t="s">
        <v>5025</v>
      </c>
      <c r="E1367" s="10" t="str">
        <f>HYPERLINK("https://twitter.com/juberi85/status/1070968478209900545","1070968478209900545")</f>
        <v>1070968478209900545</v>
      </c>
      <c r="F1367" s="12"/>
      <c r="G1367" s="12"/>
      <c r="H1367" s="12"/>
      <c r="I1367" s="13">
        <v>2</v>
      </c>
      <c r="J1367" s="13">
        <v>2</v>
      </c>
      <c r="K1367" s="14" t="str">
        <f t="shared" ref="K1367:K1368" si="228">HYPERLINK("http://twitter.com","Twitter Web Client")</f>
        <v>Twitter Web Client</v>
      </c>
      <c r="L1367" s="13">
        <v>351</v>
      </c>
      <c r="M1367" s="13">
        <v>1146</v>
      </c>
      <c r="N1367" s="13">
        <v>0</v>
      </c>
      <c r="O1367" s="15"/>
      <c r="P1367" s="6">
        <v>42889.761412037042</v>
      </c>
      <c r="Q1367" s="16" t="s">
        <v>230</v>
      </c>
      <c r="R1367" s="17" t="s">
        <v>5026</v>
      </c>
      <c r="S1367" s="12"/>
      <c r="T1367" s="12"/>
      <c r="U1367" s="10" t="str">
        <f>HYPERLINK("https://pbs.twimg.com/profile_images/1070406166512091137/ITlDhUni.jpg","View")</f>
        <v>View</v>
      </c>
    </row>
    <row r="1368" spans="1:21" ht="30.6">
      <c r="A1368" s="6">
        <v>43441.422129629631</v>
      </c>
      <c r="B1368" s="7" t="str">
        <f>HYPERLINK("https://twitter.com/Libertariannest","@Libertariannest")</f>
        <v>@Libertariannest</v>
      </c>
      <c r="C1368" s="8" t="s">
        <v>5027</v>
      </c>
      <c r="D1368" s="9" t="s">
        <v>5018</v>
      </c>
      <c r="E1368" s="10" t="str">
        <f>HYPERLINK("https://twitter.com/Libertariannest/status/1070968122402897920","1070968122402897920")</f>
        <v>1070968122402897920</v>
      </c>
      <c r="F1368" s="11" t="s">
        <v>115</v>
      </c>
      <c r="G1368" s="12"/>
      <c r="H1368" s="12"/>
      <c r="I1368" s="13">
        <v>1</v>
      </c>
      <c r="J1368" s="13">
        <v>0</v>
      </c>
      <c r="K1368" s="14" t="str">
        <f t="shared" si="228"/>
        <v>Twitter Web Client</v>
      </c>
      <c r="L1368" s="13">
        <v>2526</v>
      </c>
      <c r="M1368" s="13">
        <v>1549</v>
      </c>
      <c r="N1368" s="13">
        <v>45</v>
      </c>
      <c r="O1368" s="15"/>
      <c r="P1368" s="6">
        <v>41994.465856481482</v>
      </c>
      <c r="Q1368" s="16" t="s">
        <v>82</v>
      </c>
      <c r="R1368" s="17" t="s">
        <v>5028</v>
      </c>
      <c r="S1368" s="12"/>
      <c r="T1368" s="12"/>
      <c r="U1368" s="10" t="str">
        <f>HYPERLINK("https://pbs.twimg.com/profile_images/795585234871795712/tuf1GD-Y.jpg","View")</f>
        <v>View</v>
      </c>
    </row>
    <row r="1369" spans="1:21" ht="40.799999999999997">
      <c r="A1369" s="6">
        <v>43441.421898148154</v>
      </c>
      <c r="B1369" s="7" t="str">
        <f>HYPERLINK("https://twitter.com/plusero","@plusero")</f>
        <v>@plusero</v>
      </c>
      <c r="C1369" s="8" t="s">
        <v>5029</v>
      </c>
      <c r="D1369" s="9" t="s">
        <v>5030</v>
      </c>
      <c r="E1369" s="10" t="str">
        <f>HYPERLINK("https://twitter.com/plusero/status/1070968039330459648","1070968039330459648")</f>
        <v>1070968039330459648</v>
      </c>
      <c r="F1369" s="12"/>
      <c r="G1369" s="12"/>
      <c r="H1369" s="12"/>
      <c r="I1369" s="13">
        <v>3</v>
      </c>
      <c r="J1369" s="13">
        <v>18</v>
      </c>
      <c r="K1369" s="14" t="str">
        <f t="shared" ref="K1369:K1370" si="229">HYPERLINK("http://twitter.com/download/android","Twitter for Android")</f>
        <v>Twitter for Android</v>
      </c>
      <c r="L1369" s="13">
        <v>2172</v>
      </c>
      <c r="M1369" s="13">
        <v>952</v>
      </c>
      <c r="N1369" s="13">
        <v>45</v>
      </c>
      <c r="O1369" s="15"/>
      <c r="P1369" s="6">
        <v>40223.953125</v>
      </c>
      <c r="Q1369" s="16" t="s">
        <v>3970</v>
      </c>
      <c r="R1369" s="17" t="s">
        <v>5031</v>
      </c>
      <c r="S1369" s="12"/>
      <c r="T1369" s="12"/>
      <c r="U1369" s="10" t="str">
        <f>HYPERLINK("https://pbs.twimg.com/profile_images/777040602047348736/fQ-F1ZLy.jpg","View")</f>
        <v>View</v>
      </c>
    </row>
    <row r="1370" spans="1:21" ht="40.799999999999997">
      <c r="A1370" s="6">
        <v>43441.421111111107</v>
      </c>
      <c r="B1370" s="7" t="str">
        <f>HYPERLINK("https://twitter.com/almudenanegro","@almudenanegro")</f>
        <v>@almudenanegro</v>
      </c>
      <c r="C1370" s="8" t="s">
        <v>5032</v>
      </c>
      <c r="D1370" s="9" t="s">
        <v>5033</v>
      </c>
      <c r="E1370" s="10" t="str">
        <f>HYPERLINK("https://twitter.com/almudenanegro/status/1070967752733663232","1070967752733663232")</f>
        <v>1070967752733663232</v>
      </c>
      <c r="F1370" s="11" t="s">
        <v>5034</v>
      </c>
      <c r="G1370" s="12"/>
      <c r="H1370" s="12"/>
      <c r="I1370" s="13">
        <v>5</v>
      </c>
      <c r="J1370" s="13">
        <v>17</v>
      </c>
      <c r="K1370" s="14" t="str">
        <f t="shared" si="229"/>
        <v>Twitter for Android</v>
      </c>
      <c r="L1370" s="13">
        <v>15751</v>
      </c>
      <c r="M1370" s="13">
        <v>2172</v>
      </c>
      <c r="N1370" s="13">
        <v>446</v>
      </c>
      <c r="O1370" s="18" t="s">
        <v>41</v>
      </c>
      <c r="P1370" s="6">
        <v>40124.399618055555</v>
      </c>
      <c r="Q1370" s="16" t="s">
        <v>1108</v>
      </c>
      <c r="R1370" s="17" t="s">
        <v>5035</v>
      </c>
      <c r="S1370" s="11" t="s">
        <v>5036</v>
      </c>
      <c r="T1370" s="12"/>
      <c r="U1370" s="10" t="str">
        <f>HYPERLINK("https://pbs.twimg.com/profile_images/1037249562916872192/qBwewM6W.jpg","View")</f>
        <v>View</v>
      </c>
    </row>
    <row r="1371" spans="1:21" ht="20.399999999999999">
      <c r="A1371" s="6">
        <v>43441.420671296291</v>
      </c>
      <c r="B1371" s="7" t="str">
        <f>HYPERLINK("https://twitter.com/ElDiestro_","@ElDiestro_")</f>
        <v>@ElDiestro_</v>
      </c>
      <c r="C1371" s="8" t="s">
        <v>5037</v>
      </c>
      <c r="D1371" s="9" t="s">
        <v>5038</v>
      </c>
      <c r="E1371" s="10" t="str">
        <f>HYPERLINK("https://twitter.com/ElDiestro_/status/1070967593698242562","1070967593698242562")</f>
        <v>1070967593698242562</v>
      </c>
      <c r="F1371" s="11" t="s">
        <v>2242</v>
      </c>
      <c r="G1371" s="12"/>
      <c r="H1371" s="12"/>
      <c r="I1371" s="13">
        <v>4</v>
      </c>
      <c r="J1371" s="13">
        <v>3</v>
      </c>
      <c r="K1371" s="14" t="str">
        <f t="shared" ref="K1371:K1372" si="230">HYPERLINK("http://twitter.com/download/iphone","Twitter for iPhone")</f>
        <v>Twitter for iPhone</v>
      </c>
      <c r="L1371" s="13">
        <v>7665</v>
      </c>
      <c r="M1371" s="13">
        <v>5296</v>
      </c>
      <c r="N1371" s="13">
        <v>55</v>
      </c>
      <c r="O1371" s="15"/>
      <c r="P1371" s="6">
        <v>42401.77506944444</v>
      </c>
      <c r="Q1371" s="16" t="s">
        <v>60</v>
      </c>
      <c r="R1371" s="17" t="s">
        <v>5039</v>
      </c>
      <c r="S1371" s="11" t="s">
        <v>5040</v>
      </c>
      <c r="T1371" s="12"/>
      <c r="U1371" s="10" t="str">
        <f>HYPERLINK("https://pbs.twimg.com/profile_images/938514288549023744/w6f25Sox.jpg","View")</f>
        <v>View</v>
      </c>
    </row>
    <row r="1372" spans="1:21" ht="30.6">
      <c r="A1372" s="6">
        <v>43441.420381944445</v>
      </c>
      <c r="B1372" s="7" t="str">
        <f>HYPERLINK("https://twitter.com/Catalega","@Catalega")</f>
        <v>@Catalega</v>
      </c>
      <c r="C1372" s="8" t="s">
        <v>5041</v>
      </c>
      <c r="D1372" s="9" t="s">
        <v>2241</v>
      </c>
      <c r="E1372" s="10" t="str">
        <f>HYPERLINK("https://twitter.com/Catalega/status/1070967486412193792","1070967486412193792")</f>
        <v>1070967486412193792</v>
      </c>
      <c r="F1372" s="11" t="s">
        <v>2242</v>
      </c>
      <c r="G1372" s="12"/>
      <c r="H1372" s="12"/>
      <c r="I1372" s="13">
        <v>1</v>
      </c>
      <c r="J1372" s="13">
        <v>2</v>
      </c>
      <c r="K1372" s="14" t="str">
        <f t="shared" si="230"/>
        <v>Twitter for iPhone</v>
      </c>
      <c r="L1372" s="13">
        <v>9926</v>
      </c>
      <c r="M1372" s="13">
        <v>6271</v>
      </c>
      <c r="N1372" s="13">
        <v>88</v>
      </c>
      <c r="O1372" s="15"/>
      <c r="P1372" s="6">
        <v>40400.478032407409</v>
      </c>
      <c r="Q1372" s="16" t="s">
        <v>3784</v>
      </c>
      <c r="R1372" s="17" t="s">
        <v>5042</v>
      </c>
      <c r="S1372" s="11" t="s">
        <v>5043</v>
      </c>
      <c r="T1372" s="12"/>
      <c r="U1372" s="10" t="str">
        <f>HYPERLINK("https://pbs.twimg.com/profile_images/1063018224349036544/fOLILu20.jpg","View")</f>
        <v>View</v>
      </c>
    </row>
    <row r="1373" spans="1:21" ht="20.399999999999999">
      <c r="A1373" s="6">
        <v>43441.417476851857</v>
      </c>
      <c r="B1373" s="7" t="str">
        <f>HYPERLINK("https://twitter.com/ElSabioBribon","@ElSabioBribon")</f>
        <v>@ElSabioBribon</v>
      </c>
      <c r="C1373" s="8" t="s">
        <v>5044</v>
      </c>
      <c r="D1373" s="9" t="s">
        <v>5045</v>
      </c>
      <c r="E1373" s="10" t="str">
        <f>HYPERLINK("https://twitter.com/ElSabioBribon/status/1070966433935437829","1070966433935437829")</f>
        <v>1070966433935437829</v>
      </c>
      <c r="F1373" s="11" t="s">
        <v>4639</v>
      </c>
      <c r="G1373" s="12"/>
      <c r="H1373" s="12"/>
      <c r="I1373" s="13">
        <v>1</v>
      </c>
      <c r="J1373" s="13">
        <v>2</v>
      </c>
      <c r="K1373" s="14" t="str">
        <f>HYPERLINK("http://twitter.com/download/android","Twitter for Android")</f>
        <v>Twitter for Android</v>
      </c>
      <c r="L1373" s="13">
        <v>660</v>
      </c>
      <c r="M1373" s="13">
        <v>439</v>
      </c>
      <c r="N1373" s="13">
        <v>3</v>
      </c>
      <c r="O1373" s="15"/>
      <c r="P1373" s="6">
        <v>41672.64230324074</v>
      </c>
      <c r="Q1373" s="16" t="s">
        <v>60</v>
      </c>
      <c r="R1373" s="17" t="s">
        <v>5046</v>
      </c>
      <c r="S1373" s="12"/>
      <c r="T1373" s="12"/>
      <c r="U1373" s="10" t="str">
        <f>HYPERLINK("https://pbs.twimg.com/profile_images/690482203868925952/ZP3mdHtz.jpg","View")</f>
        <v>View</v>
      </c>
    </row>
    <row r="1374" spans="1:21" ht="40.799999999999997">
      <c r="A1374" s="6">
        <v>43441.417013888888</v>
      </c>
      <c r="B1374" s="7" t="str">
        <f>HYPERLINK("https://twitter.com/tio_chabo","@tio_chabo")</f>
        <v>@tio_chabo</v>
      </c>
      <c r="C1374" s="8" t="s">
        <v>5047</v>
      </c>
      <c r="D1374" s="9" t="s">
        <v>5048</v>
      </c>
      <c r="E1374" s="10" t="str">
        <f>HYPERLINK("https://twitter.com/tio_chabo/status/1070966268390490114","1070966268390490114")</f>
        <v>1070966268390490114</v>
      </c>
      <c r="F1374" s="11" t="s">
        <v>5049</v>
      </c>
      <c r="G1374" s="12"/>
      <c r="H1374" s="12"/>
      <c r="I1374" s="13">
        <v>0</v>
      </c>
      <c r="J1374" s="13">
        <v>0</v>
      </c>
      <c r="K1374" s="14" t="str">
        <f>HYPERLINK("https://ifttt.com","IFTTT")</f>
        <v>IFTTT</v>
      </c>
      <c r="L1374" s="13">
        <v>3112</v>
      </c>
      <c r="M1374" s="13">
        <v>3722</v>
      </c>
      <c r="N1374" s="13">
        <v>68</v>
      </c>
      <c r="O1374" s="15"/>
      <c r="P1374" s="6">
        <v>40964.769629629627</v>
      </c>
      <c r="Q1374" s="16" t="s">
        <v>5050</v>
      </c>
      <c r="R1374" s="17" t="s">
        <v>5051</v>
      </c>
      <c r="S1374" s="11" t="s">
        <v>5052</v>
      </c>
      <c r="T1374" s="12"/>
      <c r="U1374" s="10" t="str">
        <f>HYPERLINK("https://pbs.twimg.com/profile_images/837040061870833666/XUkKbbB4.jpg","View")</f>
        <v>View</v>
      </c>
    </row>
    <row r="1375" spans="1:21" ht="20.399999999999999">
      <c r="A1375" s="6">
        <v>43441.416944444441</v>
      </c>
      <c r="B1375" s="7" t="str">
        <f>HYPERLINK("https://twitter.com/eldiarionorte","@eldiarionorte")</f>
        <v>@eldiarionorte</v>
      </c>
      <c r="C1375" s="8" t="s">
        <v>5053</v>
      </c>
      <c r="D1375" s="9" t="s">
        <v>2521</v>
      </c>
      <c r="E1375" s="10" t="str">
        <f>HYPERLINK("https://twitter.com/eldiarionorte/status/1070966241718923264","1070966241718923264")</f>
        <v>1070966241718923264</v>
      </c>
      <c r="F1375" s="11" t="s">
        <v>4780</v>
      </c>
      <c r="G1375" s="11" t="s">
        <v>5054</v>
      </c>
      <c r="H1375" s="12"/>
      <c r="I1375" s="13">
        <v>1</v>
      </c>
      <c r="J1375" s="13">
        <v>1</v>
      </c>
      <c r="K1375" s="14" t="str">
        <f t="shared" ref="K1375:K1376" si="231">HYPERLINK("https://www.hootsuite.com","Hootsuite Inc.")</f>
        <v>Hootsuite Inc.</v>
      </c>
      <c r="L1375" s="13">
        <v>6083</v>
      </c>
      <c r="M1375" s="13">
        <v>161</v>
      </c>
      <c r="N1375" s="13">
        <v>204</v>
      </c>
      <c r="O1375" s="15"/>
      <c r="P1375" s="6">
        <v>41292.636817129627</v>
      </c>
      <c r="Q1375" s="12"/>
      <c r="R1375" s="17" t="s">
        <v>5055</v>
      </c>
      <c r="S1375" s="11" t="s">
        <v>5056</v>
      </c>
      <c r="T1375" s="12"/>
      <c r="U1375" s="10" t="str">
        <f>HYPERLINK("https://pbs.twimg.com/profile_images/1047083539580313601/qjAVHGfX.jpg","View")</f>
        <v>View</v>
      </c>
    </row>
    <row r="1376" spans="1:21" ht="40.799999999999997">
      <c r="A1376" s="6">
        <v>43441.41679398148</v>
      </c>
      <c r="B1376" s="7" t="str">
        <f>HYPERLINK("https://twitter.com/el_pais_madrid","@el_pais_madrid")</f>
        <v>@el_pais_madrid</v>
      </c>
      <c r="C1376" s="8" t="s">
        <v>5057</v>
      </c>
      <c r="D1376" s="9" t="s">
        <v>5058</v>
      </c>
      <c r="E1376" s="10" t="str">
        <f>HYPERLINK("https://twitter.com/el_pais_madrid/status/1070966189499793409","1070966189499793409")</f>
        <v>1070966189499793409</v>
      </c>
      <c r="F1376" s="11" t="s">
        <v>5059</v>
      </c>
      <c r="G1376" s="12"/>
      <c r="H1376" s="12"/>
      <c r="I1376" s="13">
        <v>3</v>
      </c>
      <c r="J1376" s="13">
        <v>3</v>
      </c>
      <c r="K1376" s="14" t="str">
        <f t="shared" si="231"/>
        <v>Hootsuite Inc.</v>
      </c>
      <c r="L1376" s="13">
        <v>217690</v>
      </c>
      <c r="M1376" s="13">
        <v>446</v>
      </c>
      <c r="N1376" s="13">
        <v>1912</v>
      </c>
      <c r="O1376" s="18" t="s">
        <v>41</v>
      </c>
      <c r="P1376" s="6">
        <v>39926.854953703703</v>
      </c>
      <c r="Q1376" s="16" t="s">
        <v>133</v>
      </c>
      <c r="R1376" s="17" t="s">
        <v>5060</v>
      </c>
      <c r="S1376" s="11" t="s">
        <v>5061</v>
      </c>
      <c r="T1376" s="12"/>
      <c r="U1376" s="10" t="str">
        <f>HYPERLINK("https://pbs.twimg.com/profile_images/875715865160929280/Ei_etY0i.jpg","View")</f>
        <v>View</v>
      </c>
    </row>
    <row r="1377" spans="1:21" ht="20.399999999999999">
      <c r="A1377" s="6">
        <v>43441.416666666672</v>
      </c>
      <c r="B1377" s="7" t="str">
        <f>HYPERLINK("https://twitter.com/EmilioSantos67","@EmilioSantos67")</f>
        <v>@EmilioSantos67</v>
      </c>
      <c r="C1377" s="8" t="s">
        <v>5062</v>
      </c>
      <c r="D1377" s="9" t="s">
        <v>5063</v>
      </c>
      <c r="E1377" s="10" t="str">
        <f>HYPERLINK("https://twitter.com/EmilioSantos67/status/1070966140548145153","1070966140548145153")</f>
        <v>1070966140548145153</v>
      </c>
      <c r="F1377" s="11" t="s">
        <v>5064</v>
      </c>
      <c r="G1377" s="12"/>
      <c r="H1377" s="12"/>
      <c r="I1377" s="13">
        <v>0</v>
      </c>
      <c r="J1377" s="13">
        <v>0</v>
      </c>
      <c r="K1377" s="14" t="str">
        <f>HYPERLINK("http://twitter.com","Twitter Web Client")</f>
        <v>Twitter Web Client</v>
      </c>
      <c r="L1377" s="13">
        <v>44</v>
      </c>
      <c r="M1377" s="13">
        <v>86</v>
      </c>
      <c r="N1377" s="13">
        <v>2</v>
      </c>
      <c r="O1377" s="15"/>
      <c r="P1377" s="6">
        <v>40883.91101851852</v>
      </c>
      <c r="Q1377" s="16" t="s">
        <v>4335</v>
      </c>
      <c r="R1377" s="17" t="s">
        <v>5065</v>
      </c>
      <c r="S1377" s="12"/>
      <c r="T1377" s="12"/>
      <c r="U1377" s="10" t="str">
        <f>HYPERLINK("https://pbs.twimg.com/profile_images/692121637693607939/L5XWLVq7.jpg","View")</f>
        <v>View</v>
      </c>
    </row>
    <row r="1378" spans="1:21" ht="30.6">
      <c r="A1378" s="6">
        <v>43441.416643518518</v>
      </c>
      <c r="B1378" s="7" t="str">
        <f>HYPERLINK("https://twitter.com/LadyGodivaLib","@LadyGodivaLib")</f>
        <v>@LadyGodivaLib</v>
      </c>
      <c r="C1378" s="8" t="s">
        <v>5066</v>
      </c>
      <c r="D1378" s="9" t="s">
        <v>5067</v>
      </c>
      <c r="E1378" s="10" t="str">
        <f>HYPERLINK("https://twitter.com/LadyGodivaLib/status/1070966133677846528","1070966133677846528")</f>
        <v>1070966133677846528</v>
      </c>
      <c r="F1378" s="11" t="s">
        <v>246</v>
      </c>
      <c r="G1378" s="12"/>
      <c r="H1378" s="12"/>
      <c r="I1378" s="13">
        <v>0</v>
      </c>
      <c r="J1378" s="13">
        <v>0</v>
      </c>
      <c r="K1378" s="14" t="str">
        <f>HYPERLINK("http://twitter.com/download/iphone","Twitter for iPhone")</f>
        <v>Twitter for iPhone</v>
      </c>
      <c r="L1378" s="13">
        <v>171</v>
      </c>
      <c r="M1378" s="13">
        <v>309</v>
      </c>
      <c r="N1378" s="13">
        <v>1</v>
      </c>
      <c r="O1378" s="15"/>
      <c r="P1378" s="6">
        <v>43373.990891203706</v>
      </c>
      <c r="Q1378" s="16" t="s">
        <v>60</v>
      </c>
      <c r="R1378" s="17" t="s">
        <v>5068</v>
      </c>
      <c r="S1378" s="12"/>
      <c r="T1378" s="12"/>
      <c r="U1378" s="10" t="str">
        <f>HYPERLINK("https://pbs.twimg.com/profile_images/1046517219839152128/IazP7HUi.jpg","View")</f>
        <v>View</v>
      </c>
    </row>
    <row r="1379" spans="1:21" ht="30.6">
      <c r="A1379" s="6">
        <v>43441.416238425925</v>
      </c>
      <c r="B1379" s="7" t="str">
        <f>HYPERLINK("https://twitter.com/ffbang","@ffbang")</f>
        <v>@ffbang</v>
      </c>
      <c r="C1379" s="8" t="s">
        <v>2443</v>
      </c>
      <c r="D1379" s="9" t="s">
        <v>5069</v>
      </c>
      <c r="E1379" s="10" t="str">
        <f>HYPERLINK("https://twitter.com/ffbang/status/1070965985551810560","1070965985551810560")</f>
        <v>1070965985551810560</v>
      </c>
      <c r="F1379" s="11" t="s">
        <v>1505</v>
      </c>
      <c r="G1379" s="12"/>
      <c r="H1379" s="12"/>
      <c r="I1379" s="13">
        <v>0</v>
      </c>
      <c r="J1379" s="13">
        <v>0</v>
      </c>
      <c r="K1379" s="14" t="str">
        <f>HYPERLINK("http://www.facebook.com/twitter","Facebook")</f>
        <v>Facebook</v>
      </c>
      <c r="L1379" s="13">
        <v>73</v>
      </c>
      <c r="M1379" s="13">
        <v>132</v>
      </c>
      <c r="N1379" s="13">
        <v>5</v>
      </c>
      <c r="O1379" s="15"/>
      <c r="P1379" s="6">
        <v>40629.902280092589</v>
      </c>
      <c r="Q1379" s="16" t="s">
        <v>2445</v>
      </c>
      <c r="R1379" s="17" t="s">
        <v>2446</v>
      </c>
      <c r="S1379" s="12"/>
      <c r="T1379" s="12"/>
      <c r="U1379" s="10" t="str">
        <f>HYPERLINK("https://pbs.twimg.com/profile_images/714938582969020416/DJvp7iYY.jpg","View")</f>
        <v>View</v>
      </c>
    </row>
    <row r="1380" spans="1:21" ht="30.6">
      <c r="A1380" s="6">
        <v>43441.415486111116</v>
      </c>
      <c r="B1380" s="7" t="str">
        <f>HYPERLINK("https://twitter.com/CatalanAnalyst","@CatalanAnalyst")</f>
        <v>@CatalanAnalyst</v>
      </c>
      <c r="C1380" s="8" t="s">
        <v>586</v>
      </c>
      <c r="D1380" s="9" t="s">
        <v>5018</v>
      </c>
      <c r="E1380" s="10" t="str">
        <f>HYPERLINK("https://twitter.com/CatalanAnalyst/status/1070965714683604992","1070965714683604992")</f>
        <v>1070965714683604992</v>
      </c>
      <c r="F1380" s="11" t="s">
        <v>115</v>
      </c>
      <c r="G1380" s="12"/>
      <c r="H1380" s="12"/>
      <c r="I1380" s="13">
        <v>0</v>
      </c>
      <c r="J1380" s="13">
        <v>0</v>
      </c>
      <c r="K1380" s="14" t="str">
        <f>HYPERLINK("http://twitter.com","Twitter Web Client")</f>
        <v>Twitter Web Client</v>
      </c>
      <c r="L1380" s="13">
        <v>1558</v>
      </c>
      <c r="M1380" s="13">
        <v>1063</v>
      </c>
      <c r="N1380" s="13">
        <v>56</v>
      </c>
      <c r="O1380" s="15"/>
      <c r="P1380" s="6">
        <v>42228.675289351857</v>
      </c>
      <c r="Q1380" s="16" t="s">
        <v>589</v>
      </c>
      <c r="R1380" s="21" t="s">
        <v>590</v>
      </c>
      <c r="S1380" s="11" t="s">
        <v>593</v>
      </c>
      <c r="T1380" s="12"/>
      <c r="U1380" s="10" t="str">
        <f>HYPERLINK("https://pbs.twimg.com/profile_images/672374611246452738/oM1fXmFA.jpg","View")</f>
        <v>View</v>
      </c>
    </row>
    <row r="1381" spans="1:21" ht="91.8">
      <c r="A1381" s="6">
        <v>43441.415104166663</v>
      </c>
      <c r="B1381" s="7" t="str">
        <f>HYPERLINK("https://twitter.com/j_breda_gisbert","@j_breda_gisbert")</f>
        <v>@j_breda_gisbert</v>
      </c>
      <c r="C1381" s="8" t="s">
        <v>5070</v>
      </c>
      <c r="D1381" s="29" t="s">
        <v>5071</v>
      </c>
      <c r="E1381" s="10" t="str">
        <f>HYPERLINK("https://twitter.com/j_breda_gisbert/status/1070965573872431104","1070965573872431104")</f>
        <v>1070965573872431104</v>
      </c>
      <c r="F1381" s="16" t="s">
        <v>5072</v>
      </c>
      <c r="G1381" s="12"/>
      <c r="H1381" s="12"/>
      <c r="I1381" s="13">
        <v>0</v>
      </c>
      <c r="J1381" s="13">
        <v>0</v>
      </c>
      <c r="K1381" s="14" t="str">
        <f>HYPERLINK("http://twitter.com/download/android","Twitter for Android")</f>
        <v>Twitter for Android</v>
      </c>
      <c r="L1381" s="13">
        <v>308</v>
      </c>
      <c r="M1381" s="13">
        <v>265</v>
      </c>
      <c r="N1381" s="13">
        <v>0</v>
      </c>
      <c r="O1381" s="15"/>
      <c r="P1381" s="6">
        <v>40697.997835648144</v>
      </c>
      <c r="Q1381" s="16" t="s">
        <v>1493</v>
      </c>
      <c r="R1381" s="19"/>
      <c r="S1381" s="12"/>
      <c r="T1381" s="12"/>
      <c r="U1381" s="10" t="str">
        <f>HYPERLINK("https://pbs.twimg.com/profile_images/804080367204519947/03dV0p6Z.jpg","View")</f>
        <v>View</v>
      </c>
    </row>
    <row r="1382" spans="1:21" ht="20.399999999999999">
      <c r="A1382" s="6">
        <v>43441.414108796293</v>
      </c>
      <c r="B1382" s="7" t="str">
        <f>HYPERLINK("https://twitter.com/JosepMCalaf","@JosepMCalaf")</f>
        <v>@JosepMCalaf</v>
      </c>
      <c r="C1382" s="8" t="s">
        <v>5073</v>
      </c>
      <c r="D1382" s="9" t="s">
        <v>5074</v>
      </c>
      <c r="E1382" s="10" t="str">
        <f>HYPERLINK("https://twitter.com/JosepMCalaf/status/1070965214353477632","1070965214353477632")</f>
        <v>1070965214353477632</v>
      </c>
      <c r="F1382" s="11" t="s">
        <v>5075</v>
      </c>
      <c r="G1382" s="12"/>
      <c r="H1382" s="12"/>
      <c r="I1382" s="13">
        <v>0</v>
      </c>
      <c r="J1382" s="13">
        <v>0</v>
      </c>
      <c r="K1382" s="14" t="str">
        <f>HYPERLINK("http://twitter.com","Twitter Web Client")</f>
        <v>Twitter Web Client</v>
      </c>
      <c r="L1382" s="13">
        <v>2020</v>
      </c>
      <c r="M1382" s="13">
        <v>4911</v>
      </c>
      <c r="N1382" s="13">
        <v>87</v>
      </c>
      <c r="O1382" s="15"/>
      <c r="P1382" s="6">
        <v>40496.37226851852</v>
      </c>
      <c r="Q1382" s="16" t="s">
        <v>1249</v>
      </c>
      <c r="R1382" s="19"/>
      <c r="S1382" s="12"/>
      <c r="T1382" s="12"/>
      <c r="U1382" s="10" t="str">
        <f>HYPERLINK("https://pbs.twimg.com/profile_images/1231807509/26082010025.jpg","View")</f>
        <v>View</v>
      </c>
    </row>
    <row r="1383" spans="1:21" ht="61.2">
      <c r="A1383" s="6">
        <v>43441.411527777775</v>
      </c>
      <c r="B1383" s="7" t="str">
        <f>HYPERLINK("https://twitter.com/el_magom","@el_magom")</f>
        <v>@el_magom</v>
      </c>
      <c r="C1383" s="8" t="s">
        <v>5076</v>
      </c>
      <c r="D1383" s="9" t="s">
        <v>5077</v>
      </c>
      <c r="E1383" s="10" t="str">
        <f>HYPERLINK("https://twitter.com/el_magom/status/1070964278449106944","1070964278449106944")</f>
        <v>1070964278449106944</v>
      </c>
      <c r="F1383" s="12"/>
      <c r="G1383" s="12"/>
      <c r="H1383" s="12"/>
      <c r="I1383" s="13">
        <v>0</v>
      </c>
      <c r="J1383" s="13">
        <v>0</v>
      </c>
      <c r="K1383" s="14" t="str">
        <f>HYPERLINK("https://mobile.twitter.com","Twitter Lite")</f>
        <v>Twitter Lite</v>
      </c>
      <c r="L1383" s="13">
        <v>312</v>
      </c>
      <c r="M1383" s="13">
        <v>212</v>
      </c>
      <c r="N1383" s="13">
        <v>8</v>
      </c>
      <c r="O1383" s="15"/>
      <c r="P1383" s="6">
        <v>40627.421435185184</v>
      </c>
      <c r="Q1383" s="12"/>
      <c r="R1383" s="17" t="s">
        <v>5078</v>
      </c>
      <c r="S1383" s="12"/>
      <c r="T1383" s="12"/>
      <c r="U1383" s="10" t="str">
        <f>HYPERLINK("https://pbs.twimg.com/profile_images/755676531431710720/v59GoB9E.jpg","View")</f>
        <v>View</v>
      </c>
    </row>
    <row r="1384" spans="1:21" ht="40.799999999999997">
      <c r="A1384" s="6">
        <v>43441.411493055552</v>
      </c>
      <c r="B1384" s="7" t="str">
        <f>HYPERLINK("https://twitter.com/RosaKempin","@RosaKempin")</f>
        <v>@RosaKempin</v>
      </c>
      <c r="C1384" s="8" t="s">
        <v>5079</v>
      </c>
      <c r="D1384" s="9" t="s">
        <v>4743</v>
      </c>
      <c r="E1384" s="10" t="str">
        <f>HYPERLINK("https://twitter.com/RosaKempin/status/1070964265274802177","1070964265274802177")</f>
        <v>1070964265274802177</v>
      </c>
      <c r="F1384" s="11" t="s">
        <v>4176</v>
      </c>
      <c r="G1384" s="12"/>
      <c r="H1384" s="12"/>
      <c r="I1384" s="13">
        <v>0</v>
      </c>
      <c r="J1384" s="13">
        <v>0</v>
      </c>
      <c r="K1384" s="14" t="str">
        <f>HYPERLINK("http://twitter.com","Twitter Web Client")</f>
        <v>Twitter Web Client</v>
      </c>
      <c r="L1384" s="13">
        <v>3561</v>
      </c>
      <c r="M1384" s="13">
        <v>3056</v>
      </c>
      <c r="N1384" s="13">
        <v>80</v>
      </c>
      <c r="O1384" s="15"/>
      <c r="P1384" s="6">
        <v>42207.715740740736</v>
      </c>
      <c r="Q1384" s="12"/>
      <c r="R1384" s="17" t="s">
        <v>5080</v>
      </c>
      <c r="S1384" s="12"/>
      <c r="T1384" s="12"/>
      <c r="U1384" s="10" t="str">
        <f>HYPERLINK("https://pbs.twimg.com/profile_images/856886083371642880/he4aTDl3.jpg","View")</f>
        <v>View</v>
      </c>
    </row>
    <row r="1385" spans="1:21" ht="102">
      <c r="A1385" s="6">
        <v>43441.411446759259</v>
      </c>
      <c r="B1385" s="7" t="str">
        <f>HYPERLINK("https://twitter.com/gramuag21","@gramuag21")</f>
        <v>@gramuag21</v>
      </c>
      <c r="C1385" s="8" t="s">
        <v>5081</v>
      </c>
      <c r="D1385" s="9" t="s">
        <v>5082</v>
      </c>
      <c r="E1385" s="10" t="str">
        <f>HYPERLINK("https://twitter.com/gramuag21/status/1070964249374142465","1070964249374142465")</f>
        <v>1070964249374142465</v>
      </c>
      <c r="F1385" s="11" t="s">
        <v>54</v>
      </c>
      <c r="G1385" s="11" t="s">
        <v>55</v>
      </c>
      <c r="H1385" s="12"/>
      <c r="I1385" s="13">
        <v>0</v>
      </c>
      <c r="J1385" s="13">
        <v>0</v>
      </c>
      <c r="K1385" s="14" t="str">
        <f>HYPERLINK("http://twitter.com/download/android","Twitter for Android")</f>
        <v>Twitter for Android</v>
      </c>
      <c r="L1385" s="13">
        <v>507</v>
      </c>
      <c r="M1385" s="13">
        <v>462</v>
      </c>
      <c r="N1385" s="13">
        <v>2</v>
      </c>
      <c r="O1385" s="15"/>
      <c r="P1385" s="6">
        <v>42728.404062500005</v>
      </c>
      <c r="Q1385" s="16" t="s">
        <v>1586</v>
      </c>
      <c r="R1385" s="17" t="s">
        <v>5083</v>
      </c>
      <c r="S1385" s="12"/>
      <c r="T1385" s="12"/>
      <c r="U1385" s="10" t="str">
        <f>HYPERLINK("https://pbs.twimg.com/profile_images/1070950112166404096/4qCykNxS.jpg","View")</f>
        <v>View</v>
      </c>
    </row>
    <row r="1386" spans="1:21" ht="40.799999999999997">
      <c r="A1386" s="6">
        <v>43441.41133101852</v>
      </c>
      <c r="B1386" s="7" t="str">
        <f>HYPERLINK("https://twitter.com/Teleindiscreta_","@Teleindiscreta_")</f>
        <v>@Teleindiscreta_</v>
      </c>
      <c r="C1386" s="8" t="s">
        <v>5084</v>
      </c>
      <c r="D1386" s="9" t="s">
        <v>5085</v>
      </c>
      <c r="E1386" s="10" t="str">
        <f>HYPERLINK("https://twitter.com/Teleindiscreta_/status/1070964206516756481","1070964206516756481")</f>
        <v>1070964206516756481</v>
      </c>
      <c r="F1386" s="11" t="s">
        <v>5086</v>
      </c>
      <c r="G1386" s="12"/>
      <c r="H1386" s="12"/>
      <c r="I1386" s="13">
        <v>0</v>
      </c>
      <c r="J1386" s="13">
        <v>0</v>
      </c>
      <c r="K1386" s="14" t="str">
        <f>HYPERLINK("http://teleindiscreta.es","Noticias Teleindiscreta")</f>
        <v>Noticias Teleindiscreta</v>
      </c>
      <c r="L1386" s="13">
        <v>594</v>
      </c>
      <c r="M1386" s="13">
        <v>349</v>
      </c>
      <c r="N1386" s="13">
        <v>13</v>
      </c>
      <c r="O1386" s="15"/>
      <c r="P1386" s="6">
        <v>42406.444247685184</v>
      </c>
      <c r="Q1386" s="16" t="s">
        <v>26</v>
      </c>
      <c r="R1386" s="17" t="s">
        <v>5087</v>
      </c>
      <c r="S1386" s="11" t="s">
        <v>5088</v>
      </c>
      <c r="T1386" s="12"/>
      <c r="U1386" s="10" t="str">
        <f>HYPERLINK("https://pbs.twimg.com/profile_images/702844633844473856/V6iSaMj6.jpg","View")</f>
        <v>View</v>
      </c>
    </row>
    <row r="1387" spans="1:21" ht="30.6">
      <c r="A1387" s="6">
        <v>43441.411250000005</v>
      </c>
      <c r="B1387" s="7" t="str">
        <f>HYPERLINK("https://twitter.com/mehuelea","@mehuelea")</f>
        <v>@mehuelea</v>
      </c>
      <c r="C1387" s="8" t="s">
        <v>1247</v>
      </c>
      <c r="D1387" s="9" t="s">
        <v>1256</v>
      </c>
      <c r="E1387" s="10" t="str">
        <f>HYPERLINK("https://twitter.com/mehuelea/status/1070964179488649217","1070964179488649217")</f>
        <v>1070964179488649217</v>
      </c>
      <c r="F1387" s="11" t="s">
        <v>1250</v>
      </c>
      <c r="G1387" s="12"/>
      <c r="H1387" s="12"/>
      <c r="I1387" s="13">
        <v>3</v>
      </c>
      <c r="J1387" s="13">
        <v>4</v>
      </c>
      <c r="K1387" s="14" t="str">
        <f t="shared" ref="K1387:K1388" si="232">HYPERLINK("http://twitter.com","Twitter Web Client")</f>
        <v>Twitter Web Client</v>
      </c>
      <c r="L1387" s="13">
        <v>3359</v>
      </c>
      <c r="M1387" s="13">
        <v>2757</v>
      </c>
      <c r="N1387" s="13">
        <v>26</v>
      </c>
      <c r="O1387" s="15"/>
      <c r="P1387" s="6">
        <v>40682.359872685185</v>
      </c>
      <c r="Q1387" s="16" t="s">
        <v>1251</v>
      </c>
      <c r="R1387" s="17" t="s">
        <v>1252</v>
      </c>
      <c r="S1387" s="11" t="s">
        <v>1253</v>
      </c>
      <c r="T1387" s="12"/>
      <c r="U1387" s="10" t="str">
        <f>HYPERLINK("https://pbs.twimg.com/profile_images/786420110919696384/2z6X6h6j.jpg","View")</f>
        <v>View</v>
      </c>
    </row>
    <row r="1388" spans="1:21" ht="51">
      <c r="A1388" s="6">
        <v>43441.410925925928</v>
      </c>
      <c r="B1388" s="7" t="str">
        <f>HYPERLINK("https://twitter.com/joseangelmb","@joseangelmb")</f>
        <v>@joseangelmb</v>
      </c>
      <c r="C1388" s="8" t="s">
        <v>5089</v>
      </c>
      <c r="D1388" s="9" t="s">
        <v>5090</v>
      </c>
      <c r="E1388" s="10" t="str">
        <f>HYPERLINK("https://twitter.com/joseangelmb/status/1070964062362554369","1070964062362554369")</f>
        <v>1070964062362554369</v>
      </c>
      <c r="F1388" s="12"/>
      <c r="G1388" s="12"/>
      <c r="H1388" s="12"/>
      <c r="I1388" s="13">
        <v>1</v>
      </c>
      <c r="J1388" s="13">
        <v>3</v>
      </c>
      <c r="K1388" s="14" t="str">
        <f t="shared" si="232"/>
        <v>Twitter Web Client</v>
      </c>
      <c r="L1388" s="13">
        <v>1595</v>
      </c>
      <c r="M1388" s="13">
        <v>869</v>
      </c>
      <c r="N1388" s="13">
        <v>76</v>
      </c>
      <c r="O1388" s="15"/>
      <c r="P1388" s="6">
        <v>40509.602222222224</v>
      </c>
      <c r="Q1388" s="16" t="s">
        <v>85</v>
      </c>
      <c r="R1388" s="17" t="s">
        <v>5091</v>
      </c>
      <c r="S1388" s="12"/>
      <c r="T1388" s="12"/>
      <c r="U1388" s="10" t="str">
        <f>HYPERLINK("https://pbs.twimg.com/profile_images/492953079398940673/nKZPietS.jpeg","View")</f>
        <v>View</v>
      </c>
    </row>
    <row r="1389" spans="1:21" ht="30.6">
      <c r="A1389" s="6">
        <v>43441.409918981481</v>
      </c>
      <c r="B1389" s="7" t="str">
        <f>HYPERLINK("https://twitter.com/TerminatorFern","@TerminatorFern")</f>
        <v>@TerminatorFern</v>
      </c>
      <c r="C1389" s="8" t="s">
        <v>4601</v>
      </c>
      <c r="D1389" s="9" t="s">
        <v>5092</v>
      </c>
      <c r="E1389" s="10" t="str">
        <f>HYPERLINK("https://twitter.com/TerminatorFern/status/1070963697470857217","1070963697470857217")</f>
        <v>1070963697470857217</v>
      </c>
      <c r="F1389" s="11" t="s">
        <v>3202</v>
      </c>
      <c r="G1389" s="11" t="s">
        <v>5093</v>
      </c>
      <c r="H1389" s="12"/>
      <c r="I1389" s="13">
        <v>0</v>
      </c>
      <c r="J1389" s="13">
        <v>0</v>
      </c>
      <c r="K1389" s="14" t="str">
        <f>HYPERLINK("https://buffer.com","Buffer")</f>
        <v>Buffer</v>
      </c>
      <c r="L1389" s="13">
        <v>728</v>
      </c>
      <c r="M1389" s="13">
        <v>2010</v>
      </c>
      <c r="N1389" s="13">
        <v>6</v>
      </c>
      <c r="O1389" s="15"/>
      <c r="P1389" s="6">
        <v>42204.513877314814</v>
      </c>
      <c r="Q1389" s="16" t="s">
        <v>4604</v>
      </c>
      <c r="R1389" s="17" t="s">
        <v>4605</v>
      </c>
      <c r="S1389" s="12"/>
      <c r="T1389" s="12"/>
      <c r="U1389" s="10" t="str">
        <f>HYPERLINK("https://pbs.twimg.com/profile_images/745303274463563777/GyIW12w_.jpg","View")</f>
        <v>View</v>
      </c>
    </row>
    <row r="1390" spans="1:21" ht="51">
      <c r="A1390" s="6">
        <v>43441.409456018519</v>
      </c>
      <c r="B1390" s="7" t="str">
        <f>HYPERLINK("https://twitter.com/alvarons21","@alvarons21")</f>
        <v>@alvarons21</v>
      </c>
      <c r="C1390" s="8" t="s">
        <v>5094</v>
      </c>
      <c r="D1390" s="9" t="s">
        <v>5095</v>
      </c>
      <c r="E1390" s="10" t="str">
        <f>HYPERLINK("https://twitter.com/alvarons21/status/1070963530164260864","1070963530164260864")</f>
        <v>1070963530164260864</v>
      </c>
      <c r="F1390" s="12"/>
      <c r="G1390" s="12"/>
      <c r="H1390" s="12"/>
      <c r="I1390" s="13">
        <v>0</v>
      </c>
      <c r="J1390" s="13">
        <v>1</v>
      </c>
      <c r="K1390" s="14" t="str">
        <f t="shared" ref="K1390:K1391" si="233">HYPERLINK("http://twitter.com/download/iphone","Twitter for iPhone")</f>
        <v>Twitter for iPhone</v>
      </c>
      <c r="L1390" s="13">
        <v>141</v>
      </c>
      <c r="M1390" s="13">
        <v>197</v>
      </c>
      <c r="N1390" s="13">
        <v>0</v>
      </c>
      <c r="O1390" s="15"/>
      <c r="P1390" s="6">
        <v>43176.8902662037</v>
      </c>
      <c r="Q1390" s="16" t="s">
        <v>26</v>
      </c>
      <c r="R1390" s="17" t="s">
        <v>5096</v>
      </c>
      <c r="S1390" s="12"/>
      <c r="T1390" s="12"/>
      <c r="U1390" s="10" t="str">
        <f>HYPERLINK("https://pbs.twimg.com/profile_images/1040277868549484545/ORMn5H3x.jpg","View")</f>
        <v>View</v>
      </c>
    </row>
    <row r="1391" spans="1:21" ht="20.399999999999999">
      <c r="A1391" s="6">
        <v>43441.409305555557</v>
      </c>
      <c r="B1391" s="7" t="str">
        <f>HYPERLINK("https://twitter.com/TeresaGS26","@TeresaGS26")</f>
        <v>@TeresaGS26</v>
      </c>
      <c r="C1391" s="8" t="s">
        <v>5097</v>
      </c>
      <c r="D1391" s="9" t="s">
        <v>5098</v>
      </c>
      <c r="E1391" s="10" t="str">
        <f>HYPERLINK("https://twitter.com/TeresaGS26/status/1070963473167908864","1070963473167908864")</f>
        <v>1070963473167908864</v>
      </c>
      <c r="F1391" s="11" t="s">
        <v>5099</v>
      </c>
      <c r="G1391" s="12"/>
      <c r="H1391" s="12"/>
      <c r="I1391" s="13">
        <v>0</v>
      </c>
      <c r="J1391" s="13">
        <v>0</v>
      </c>
      <c r="K1391" s="14" t="str">
        <f t="shared" si="233"/>
        <v>Twitter for iPhone</v>
      </c>
      <c r="L1391" s="13">
        <v>843</v>
      </c>
      <c r="M1391" s="13">
        <v>1019</v>
      </c>
      <c r="N1391" s="13">
        <v>17</v>
      </c>
      <c r="O1391" s="15"/>
      <c r="P1391" s="6">
        <v>42241.614548611113</v>
      </c>
      <c r="Q1391" s="12"/>
      <c r="R1391" s="17" t="s">
        <v>5100</v>
      </c>
      <c r="S1391" s="12"/>
      <c r="T1391" s="12"/>
      <c r="U1391" s="10" t="str">
        <f>HYPERLINK("https://pbs.twimg.com/profile_images/636159808249446400/2J9thX4B.jpg","View")</f>
        <v>View</v>
      </c>
    </row>
    <row r="1392" spans="1:21" ht="51">
      <c r="A1392" s="6">
        <v>43441.409143518518</v>
      </c>
      <c r="B1392" s="7" t="str">
        <f>HYPERLINK("https://twitter.com/MauroWetSand","@MauroWetSand")</f>
        <v>@MauroWetSand</v>
      </c>
      <c r="C1392" s="8" t="s">
        <v>5101</v>
      </c>
      <c r="D1392" s="9" t="s">
        <v>5102</v>
      </c>
      <c r="E1392" s="10" t="str">
        <f>HYPERLINK("https://twitter.com/MauroWetSand/status/1070963416259538944","1070963416259538944")</f>
        <v>1070963416259538944</v>
      </c>
      <c r="F1392" s="16" t="s">
        <v>4892</v>
      </c>
      <c r="G1392" s="12"/>
      <c r="H1392" s="12"/>
      <c r="I1392" s="13">
        <v>0</v>
      </c>
      <c r="J1392" s="13">
        <v>1</v>
      </c>
      <c r="K1392" s="14" t="str">
        <f>HYPERLINK("http://twitter.com/download/android","Twitter for Android")</f>
        <v>Twitter for Android</v>
      </c>
      <c r="L1392" s="13">
        <v>381</v>
      </c>
      <c r="M1392" s="13">
        <v>230</v>
      </c>
      <c r="N1392" s="13">
        <v>0</v>
      </c>
      <c r="O1392" s="15"/>
      <c r="P1392" s="6">
        <v>40969.729548611111</v>
      </c>
      <c r="Q1392" s="16" t="s">
        <v>5103</v>
      </c>
      <c r="R1392" s="17" t="s">
        <v>5104</v>
      </c>
      <c r="S1392" s="11" t="s">
        <v>5105</v>
      </c>
      <c r="T1392" s="12"/>
      <c r="U1392" s="10" t="str">
        <f>HYPERLINK("https://pbs.twimg.com/profile_images/947154701396725760/o3OFfxmX.jpg","View")</f>
        <v>View</v>
      </c>
    </row>
    <row r="1393" spans="1:21" ht="20.399999999999999">
      <c r="A1393" s="6">
        <v>43441.407835648148</v>
      </c>
      <c r="B1393" s="7" t="str">
        <f>HYPERLINK("https://twitter.com/CeJuanjocerezo","@CeJuanjocerezo")</f>
        <v>@CeJuanjocerezo</v>
      </c>
      <c r="C1393" s="8" t="s">
        <v>5107</v>
      </c>
      <c r="D1393" s="9" t="s">
        <v>1780</v>
      </c>
      <c r="E1393" s="10" t="str">
        <f>HYPERLINK("https://twitter.com/CeJuanjocerezo/status/1070962943653748736","1070962943653748736")</f>
        <v>1070962943653748736</v>
      </c>
      <c r="F1393" s="11" t="s">
        <v>5108</v>
      </c>
      <c r="G1393" s="12"/>
      <c r="H1393" s="12"/>
      <c r="I1393" s="13">
        <v>0</v>
      </c>
      <c r="J1393" s="13">
        <v>0</v>
      </c>
      <c r="K1393" s="14" t="str">
        <f>HYPERLINK("http://www.facebook.com/twitter","Facebook")</f>
        <v>Facebook</v>
      </c>
      <c r="L1393" s="13">
        <v>70</v>
      </c>
      <c r="M1393" s="13">
        <v>142</v>
      </c>
      <c r="N1393" s="13">
        <v>0</v>
      </c>
      <c r="O1393" s="15"/>
      <c r="P1393" s="6">
        <v>41216.387453703705</v>
      </c>
      <c r="Q1393" s="16" t="s">
        <v>60</v>
      </c>
      <c r="R1393" s="17" t="s">
        <v>5109</v>
      </c>
      <c r="S1393" s="11" t="s">
        <v>5110</v>
      </c>
      <c r="T1393" s="12"/>
      <c r="U1393" s="10" t="str">
        <f>HYPERLINK("https://pbs.twimg.com/profile_images/2966362150/f02133d58439d6d2237ae0305eed9cfb.png","View")</f>
        <v>View</v>
      </c>
    </row>
    <row r="1394" spans="1:21" ht="40.799999999999997">
      <c r="A1394" s="6">
        <v>43441.407696759255</v>
      </c>
      <c r="B1394" s="7" t="str">
        <f>HYPERLINK("https://twitter.com/universalsevil1","@universalsevil1")</f>
        <v>@universalsevil1</v>
      </c>
      <c r="C1394" s="8" t="s">
        <v>1078</v>
      </c>
      <c r="D1394" s="9" t="s">
        <v>5111</v>
      </c>
      <c r="E1394" s="10" t="str">
        <f>HYPERLINK("https://twitter.com/universalsevil1/status/1070962891501826049","1070962891501826049")</f>
        <v>1070962891501826049</v>
      </c>
      <c r="F1394" s="12"/>
      <c r="G1394" s="11" t="s">
        <v>5112</v>
      </c>
      <c r="H1394" s="12"/>
      <c r="I1394" s="13">
        <v>1</v>
      </c>
      <c r="J1394" s="13">
        <v>1</v>
      </c>
      <c r="K1394" s="14" t="str">
        <f t="shared" ref="K1394:K1397" si="234">HYPERLINK("http://twitter.com/download/android","Twitter for Android")</f>
        <v>Twitter for Android</v>
      </c>
      <c r="L1394" s="13">
        <v>412</v>
      </c>
      <c r="M1394" s="13">
        <v>694</v>
      </c>
      <c r="N1394" s="13">
        <v>7</v>
      </c>
      <c r="O1394" s="15"/>
      <c r="P1394" s="6">
        <v>42373.857349537036</v>
      </c>
      <c r="Q1394" s="12"/>
      <c r="R1394" s="19"/>
      <c r="S1394" s="12"/>
      <c r="T1394" s="12"/>
      <c r="U1394" s="10" t="str">
        <f>HYPERLINK("https://pbs.twimg.com/profile_images/990336265085177857/jUe7wYwz.jpg","View")</f>
        <v>View</v>
      </c>
    </row>
    <row r="1395" spans="1:21" ht="30.6">
      <c r="A1395" s="6">
        <v>43441.407673611116</v>
      </c>
      <c r="B1395" s="7" t="str">
        <f>HYPERLINK("https://twitter.com/SrCampoy","@SrCampoy")</f>
        <v>@SrCampoy</v>
      </c>
      <c r="C1395" s="8" t="s">
        <v>5113</v>
      </c>
      <c r="D1395" s="9" t="s">
        <v>5114</v>
      </c>
      <c r="E1395" s="10" t="str">
        <f>HYPERLINK("https://twitter.com/SrCampoy/status/1070962884052742145","1070962884052742145")</f>
        <v>1070962884052742145</v>
      </c>
      <c r="F1395" s="12"/>
      <c r="G1395" s="12"/>
      <c r="H1395" s="12"/>
      <c r="I1395" s="13">
        <v>0</v>
      </c>
      <c r="J1395" s="13">
        <v>0</v>
      </c>
      <c r="K1395" s="14" t="str">
        <f t="shared" si="234"/>
        <v>Twitter for Android</v>
      </c>
      <c r="L1395" s="13">
        <v>340</v>
      </c>
      <c r="M1395" s="13">
        <v>453</v>
      </c>
      <c r="N1395" s="13">
        <v>9</v>
      </c>
      <c r="O1395" s="15"/>
      <c r="P1395" s="6">
        <v>40733.493159722224</v>
      </c>
      <c r="Q1395" s="16" t="s">
        <v>5115</v>
      </c>
      <c r="R1395" s="17" t="s">
        <v>5116</v>
      </c>
      <c r="S1395" s="12"/>
      <c r="T1395" s="12"/>
      <c r="U1395" s="10" t="str">
        <f>HYPERLINK("https://pbs.twimg.com/profile_images/1015545839496912897/lPRrKEys.jpg","View")</f>
        <v>View</v>
      </c>
    </row>
    <row r="1396" spans="1:21" ht="40.799999999999997">
      <c r="A1396" s="6">
        <v>43441.407233796301</v>
      </c>
      <c r="B1396" s="7" t="str">
        <f>HYPERLINK("https://twitter.com/Taboodelaney","@Taboodelaney")</f>
        <v>@Taboodelaney</v>
      </c>
      <c r="C1396" s="8" t="s">
        <v>773</v>
      </c>
      <c r="D1396" s="9" t="s">
        <v>5117</v>
      </c>
      <c r="E1396" s="10" t="str">
        <f>HYPERLINK("https://twitter.com/Taboodelaney/status/1070962721812856832","1070962721812856832")</f>
        <v>1070962721812856832</v>
      </c>
      <c r="F1396" s="12"/>
      <c r="G1396" s="12"/>
      <c r="H1396" s="12"/>
      <c r="I1396" s="13">
        <v>3</v>
      </c>
      <c r="J1396" s="13">
        <v>11</v>
      </c>
      <c r="K1396" s="14" t="str">
        <f t="shared" si="234"/>
        <v>Twitter for Android</v>
      </c>
      <c r="L1396" s="13">
        <v>1179</v>
      </c>
      <c r="M1396" s="13">
        <v>1050</v>
      </c>
      <c r="N1396" s="13">
        <v>2</v>
      </c>
      <c r="O1396" s="15"/>
      <c r="P1396" s="6">
        <v>43252.734421296293</v>
      </c>
      <c r="Q1396" s="12"/>
      <c r="R1396" s="17" t="s">
        <v>775</v>
      </c>
      <c r="S1396" s="12"/>
      <c r="T1396" s="12"/>
      <c r="U1396" s="10" t="str">
        <f>HYPERLINK("https://pbs.twimg.com/profile_images/1054075081960382466/6n7kVrx9.jpg","View")</f>
        <v>View</v>
      </c>
    </row>
    <row r="1397" spans="1:21" ht="20.399999999999999">
      <c r="A1397" s="6">
        <v>43441.406446759254</v>
      </c>
      <c r="B1397" s="7" t="str">
        <f>HYPERLINK("https://twitter.com/clamorsegovia","@clamorsegovia")</f>
        <v>@clamorsegovia</v>
      </c>
      <c r="C1397" s="8" t="s">
        <v>5118</v>
      </c>
      <c r="D1397" s="9" t="s">
        <v>1903</v>
      </c>
      <c r="E1397" s="10" t="str">
        <f>HYPERLINK("https://twitter.com/clamorsegovia/status/1070962437418086400","1070962437418086400")</f>
        <v>1070962437418086400</v>
      </c>
      <c r="F1397" s="11" t="s">
        <v>1904</v>
      </c>
      <c r="G1397" s="12"/>
      <c r="H1397" s="12"/>
      <c r="I1397" s="13">
        <v>0</v>
      </c>
      <c r="J1397" s="13">
        <v>0</v>
      </c>
      <c r="K1397" s="14" t="str">
        <f t="shared" si="234"/>
        <v>Twitter for Android</v>
      </c>
      <c r="L1397" s="13">
        <v>2718</v>
      </c>
      <c r="M1397" s="13">
        <v>1712</v>
      </c>
      <c r="N1397" s="13">
        <v>44</v>
      </c>
      <c r="O1397" s="15"/>
      <c r="P1397" s="6">
        <v>40615.442974537036</v>
      </c>
      <c r="Q1397" s="16" t="s">
        <v>200</v>
      </c>
      <c r="R1397" s="17" t="s">
        <v>5119</v>
      </c>
      <c r="S1397" s="11" t="s">
        <v>5120</v>
      </c>
      <c r="T1397" s="12"/>
      <c r="U1397" s="10" t="str">
        <f>HYPERLINK("https://pbs.twimg.com/profile_images/1055051697536622592/sYsCmnMN.jpg","View")</f>
        <v>View</v>
      </c>
    </row>
    <row r="1398" spans="1:21" ht="40.799999999999997">
      <c r="A1398" s="6">
        <v>43441.404768518521</v>
      </c>
      <c r="B1398" s="7" t="str">
        <f>HYPERLINK("https://twitter.com/RafadelaGuerra","@RafadelaGuerra")</f>
        <v>@RafadelaGuerra</v>
      </c>
      <c r="C1398" s="8" t="s">
        <v>5121</v>
      </c>
      <c r="D1398" s="9" t="s">
        <v>5122</v>
      </c>
      <c r="E1398" s="10" t="str">
        <f>HYPERLINK("https://twitter.com/RafadelaGuerra/status/1070961828350623744","1070961828350623744")</f>
        <v>1070961828350623744</v>
      </c>
      <c r="F1398" s="11" t="s">
        <v>3500</v>
      </c>
      <c r="G1398" s="12"/>
      <c r="H1398" s="12"/>
      <c r="I1398" s="13">
        <v>3</v>
      </c>
      <c r="J1398" s="13">
        <v>4</v>
      </c>
      <c r="K1398" s="14" t="str">
        <f>HYPERLINK("http://twitter.com/download/iphone","Twitter for iPhone")</f>
        <v>Twitter for iPhone</v>
      </c>
      <c r="L1398" s="13">
        <v>1766</v>
      </c>
      <c r="M1398" s="13">
        <v>1477</v>
      </c>
      <c r="N1398" s="13">
        <v>19</v>
      </c>
      <c r="O1398" s="15"/>
      <c r="P1398" s="6">
        <v>42763.082719907412</v>
      </c>
      <c r="Q1398" s="16" t="s">
        <v>133</v>
      </c>
      <c r="R1398" s="17" t="s">
        <v>5123</v>
      </c>
      <c r="S1398" s="12"/>
      <c r="T1398" s="12"/>
      <c r="U1398" s="10" t="str">
        <f>HYPERLINK("https://pbs.twimg.com/profile_images/1035252460372283393/FnaRwPPZ.jpg","View")</f>
        <v>View</v>
      </c>
    </row>
    <row r="1399" spans="1:21" ht="40.799999999999997">
      <c r="A1399" s="6">
        <v>43441.404606481483</v>
      </c>
      <c r="B1399" s="7" t="str">
        <f>HYPERLINK("https://twitter.com/Guadalupbragado","@Guadalupbragado")</f>
        <v>@Guadalupbragado</v>
      </c>
      <c r="C1399" s="8" t="s">
        <v>5124</v>
      </c>
      <c r="D1399" s="9" t="s">
        <v>5125</v>
      </c>
      <c r="E1399" s="10" t="str">
        <f>HYPERLINK("https://twitter.com/Guadalupbragado/status/1070961770473365505","1070961770473365505")</f>
        <v>1070961770473365505</v>
      </c>
      <c r="F1399" s="11" t="s">
        <v>5126</v>
      </c>
      <c r="G1399" s="12"/>
      <c r="H1399" s="12"/>
      <c r="I1399" s="13">
        <v>0</v>
      </c>
      <c r="J1399" s="13">
        <v>0</v>
      </c>
      <c r="K1399" s="14" t="str">
        <f>HYPERLINK("http://twitter.com","Twitter Web Client")</f>
        <v>Twitter Web Client</v>
      </c>
      <c r="L1399" s="13">
        <v>2166</v>
      </c>
      <c r="M1399" s="13">
        <v>1164</v>
      </c>
      <c r="N1399" s="13">
        <v>145</v>
      </c>
      <c r="O1399" s="15"/>
      <c r="P1399" s="6">
        <v>41291.88417824074</v>
      </c>
      <c r="Q1399" s="16" t="s">
        <v>26</v>
      </c>
      <c r="R1399" s="17" t="s">
        <v>5127</v>
      </c>
      <c r="S1399" s="11" t="s">
        <v>5128</v>
      </c>
      <c r="T1399" s="12"/>
      <c r="U1399" s="10" t="str">
        <f>HYPERLINK("https://pbs.twimg.com/profile_images/1047569124220657664/Fmljmoqf.jpg","View")</f>
        <v>View</v>
      </c>
    </row>
    <row r="1400" spans="1:21" ht="40.799999999999997">
      <c r="A1400" s="6">
        <v>43441.404374999998</v>
      </c>
      <c r="B1400" s="7" t="str">
        <f>HYPERLINK("https://twitter.com/Tabarniaelena","@Tabarniaelena")</f>
        <v>@Tabarniaelena</v>
      </c>
      <c r="C1400" s="8" t="s">
        <v>5129</v>
      </c>
      <c r="D1400" s="9" t="s">
        <v>5130</v>
      </c>
      <c r="E1400" s="10" t="str">
        <f>HYPERLINK("https://twitter.com/Tabarniaelena/status/1070961685652013056","1070961685652013056")</f>
        <v>1070961685652013056</v>
      </c>
      <c r="F1400" s="12"/>
      <c r="G1400" s="12"/>
      <c r="H1400" s="12"/>
      <c r="I1400" s="13">
        <v>0</v>
      </c>
      <c r="J1400" s="13">
        <v>1</v>
      </c>
      <c r="K1400" s="14" t="str">
        <f t="shared" ref="K1400:K1402" si="235">HYPERLINK("http://twitter.com/download/android","Twitter for Android")</f>
        <v>Twitter for Android</v>
      </c>
      <c r="L1400" s="13">
        <v>530</v>
      </c>
      <c r="M1400" s="13">
        <v>712</v>
      </c>
      <c r="N1400" s="13">
        <v>3</v>
      </c>
      <c r="O1400" s="15"/>
      <c r="P1400" s="6">
        <v>42969.507893518516</v>
      </c>
      <c r="Q1400" s="12"/>
      <c r="R1400" s="17" t="s">
        <v>5131</v>
      </c>
      <c r="S1400" s="12"/>
      <c r="T1400" s="12"/>
      <c r="U1400" s="10" t="str">
        <f>HYPERLINK("https://pbs.twimg.com/profile_images/1009467062882914305/9UfMz3t6.jpg","View")</f>
        <v>View</v>
      </c>
    </row>
    <row r="1401" spans="1:21" ht="40.799999999999997">
      <c r="A1401" s="6">
        <v>43441.403900462959</v>
      </c>
      <c r="B1401" s="7" t="str">
        <f>HYPERLINK("https://twitter.com/Leonor4618","@Leonor4618")</f>
        <v>@Leonor4618</v>
      </c>
      <c r="C1401" s="8" t="s">
        <v>5132</v>
      </c>
      <c r="D1401" s="9" t="s">
        <v>5133</v>
      </c>
      <c r="E1401" s="10" t="str">
        <f>HYPERLINK("https://twitter.com/Leonor4618/status/1070961516705431552","1070961516705431552")</f>
        <v>1070961516705431552</v>
      </c>
      <c r="F1401" s="12"/>
      <c r="G1401" s="12"/>
      <c r="H1401" s="12"/>
      <c r="I1401" s="13">
        <v>0</v>
      </c>
      <c r="J1401" s="13">
        <v>0</v>
      </c>
      <c r="K1401" s="14" t="str">
        <f t="shared" si="235"/>
        <v>Twitter for Android</v>
      </c>
      <c r="L1401" s="13">
        <v>20</v>
      </c>
      <c r="M1401" s="13">
        <v>262</v>
      </c>
      <c r="N1401" s="13">
        <v>0</v>
      </c>
      <c r="O1401" s="15"/>
      <c r="P1401" s="6">
        <v>41227.467129629629</v>
      </c>
      <c r="Q1401" s="12"/>
      <c r="R1401" s="17" t="s">
        <v>5134</v>
      </c>
      <c r="S1401" s="12"/>
      <c r="T1401" s="12"/>
      <c r="U1401" s="10" t="str">
        <f>HYPERLINK("https://pbs.twimg.com/profile_images/818892010249658368/dkeA5gGq.jpg","View")</f>
        <v>View</v>
      </c>
    </row>
    <row r="1402" spans="1:21" ht="30.6">
      <c r="A1402" s="6">
        <v>43441.40353009259</v>
      </c>
      <c r="B1402" s="7" t="str">
        <f>HYPERLINK("https://twitter.com/UlyFormoso","@UlyFormoso")</f>
        <v>@UlyFormoso</v>
      </c>
      <c r="C1402" s="8" t="s">
        <v>5135</v>
      </c>
      <c r="D1402" s="9" t="s">
        <v>5136</v>
      </c>
      <c r="E1402" s="10" t="str">
        <f>HYPERLINK("https://twitter.com/UlyFormoso/status/1070961381795614721","1070961381795614721")</f>
        <v>1070961381795614721</v>
      </c>
      <c r="F1402" s="12"/>
      <c r="G1402" s="12"/>
      <c r="H1402" s="12"/>
      <c r="I1402" s="13">
        <v>1</v>
      </c>
      <c r="J1402" s="13">
        <v>1</v>
      </c>
      <c r="K1402" s="14" t="str">
        <f t="shared" si="235"/>
        <v>Twitter for Android</v>
      </c>
      <c r="L1402" s="13">
        <v>887</v>
      </c>
      <c r="M1402" s="13">
        <v>2395</v>
      </c>
      <c r="N1402" s="13">
        <v>11</v>
      </c>
      <c r="O1402" s="15"/>
      <c r="P1402" s="6">
        <v>40685.900289351848</v>
      </c>
      <c r="Q1402" s="16" t="s">
        <v>5137</v>
      </c>
      <c r="R1402" s="17" t="s">
        <v>5138</v>
      </c>
      <c r="S1402" s="12"/>
      <c r="T1402" s="12"/>
      <c r="U1402" s="10" t="str">
        <f>HYPERLINK("https://pbs.twimg.com/profile_images/1070088036875231232/3Wj9LKDW.jpg","View")</f>
        <v>View</v>
      </c>
    </row>
    <row r="1403" spans="1:21" ht="51">
      <c r="A1403" s="6">
        <v>43441.402638888889</v>
      </c>
      <c r="B1403" s="7" t="str">
        <f>HYPERLINK("https://twitter.com/romecaldes","@romecaldes")</f>
        <v>@romecaldes</v>
      </c>
      <c r="C1403" s="8" t="s">
        <v>5139</v>
      </c>
      <c r="D1403" s="9" t="s">
        <v>5140</v>
      </c>
      <c r="E1403" s="10" t="str">
        <f>HYPERLINK("https://twitter.com/romecaldes/status/1070961056552493057","1070961056552493057")</f>
        <v>1070961056552493057</v>
      </c>
      <c r="F1403" s="11" t="s">
        <v>5141</v>
      </c>
      <c r="G1403" s="12"/>
      <c r="H1403" s="12"/>
      <c r="I1403" s="13">
        <v>3</v>
      </c>
      <c r="J1403" s="13">
        <v>4</v>
      </c>
      <c r="K1403" s="14" t="str">
        <f>HYPERLINK("http://twitter.com","Twitter Web Client")</f>
        <v>Twitter Web Client</v>
      </c>
      <c r="L1403" s="13">
        <v>1286</v>
      </c>
      <c r="M1403" s="13">
        <v>1170</v>
      </c>
      <c r="N1403" s="13">
        <v>53</v>
      </c>
      <c r="O1403" s="15"/>
      <c r="P1403" s="6">
        <v>41626.88517361111</v>
      </c>
      <c r="Q1403" s="12"/>
      <c r="R1403" s="17" t="s">
        <v>5142</v>
      </c>
      <c r="S1403" s="12"/>
      <c r="T1403" s="12"/>
      <c r="U1403" s="10" t="str">
        <f>HYPERLINK("https://pbs.twimg.com/profile_images/833726529477685248/JzIbAWxB.jpg","View")</f>
        <v>View</v>
      </c>
    </row>
    <row r="1404" spans="1:21" ht="30.6">
      <c r="A1404" s="6">
        <v>43441.402627314819</v>
      </c>
      <c r="B1404" s="7" t="str">
        <f>HYPERLINK("https://twitter.com/carlesdijous","@carlesdijous")</f>
        <v>@carlesdijous</v>
      </c>
      <c r="C1404" s="8" t="s">
        <v>5143</v>
      </c>
      <c r="D1404" s="9" t="s">
        <v>5144</v>
      </c>
      <c r="E1404" s="10" t="str">
        <f>HYPERLINK("https://twitter.com/carlesdijous/status/1070961054543462400","1070961054543462400")</f>
        <v>1070961054543462400</v>
      </c>
      <c r="F1404" s="11" t="s">
        <v>5145</v>
      </c>
      <c r="G1404" s="12"/>
      <c r="H1404" s="12"/>
      <c r="I1404" s="13">
        <v>0</v>
      </c>
      <c r="J1404" s="13">
        <v>0</v>
      </c>
      <c r="K1404" s="14" t="str">
        <f>HYPERLINK("https://about.twitter.com/products/tweetdeck","TweetDeck")</f>
        <v>TweetDeck</v>
      </c>
      <c r="L1404" s="13">
        <v>9202</v>
      </c>
      <c r="M1404" s="13">
        <v>5904</v>
      </c>
      <c r="N1404" s="13">
        <v>3070</v>
      </c>
      <c r="O1404" s="15"/>
      <c r="P1404" s="6">
        <v>39810.505740740744</v>
      </c>
      <c r="Q1404" s="16" t="s">
        <v>5146</v>
      </c>
      <c r="R1404" s="17" t="s">
        <v>5147</v>
      </c>
      <c r="S1404" s="11" t="s">
        <v>5148</v>
      </c>
      <c r="T1404" s="12"/>
      <c r="U1404" s="10" t="str">
        <f>HYPERLINK("https://pbs.twimg.com/profile_images/491086958/CD.JPG","View")</f>
        <v>View</v>
      </c>
    </row>
    <row r="1405" spans="1:21" ht="51">
      <c r="A1405" s="6">
        <v>43441.401574074072</v>
      </c>
      <c r="B1405" s="7" t="str">
        <f>HYPERLINK("https://twitter.com/1909Llevant","@1909Llevant")</f>
        <v>@1909Llevant</v>
      </c>
      <c r="C1405" s="8" t="s">
        <v>5149</v>
      </c>
      <c r="D1405" s="9" t="s">
        <v>5150</v>
      </c>
      <c r="E1405" s="10" t="str">
        <f>HYPERLINK("https://twitter.com/1909Llevant/status/1070960673193119744","1070960673193119744")</f>
        <v>1070960673193119744</v>
      </c>
      <c r="F1405" s="11" t="s">
        <v>5151</v>
      </c>
      <c r="G1405" s="12"/>
      <c r="H1405" s="12"/>
      <c r="I1405" s="13">
        <v>0</v>
      </c>
      <c r="J1405" s="13">
        <v>0</v>
      </c>
      <c r="K1405" s="14" t="str">
        <f>HYPERLINK("http://twitter.com/download/android","Twitter for Android")</f>
        <v>Twitter for Android</v>
      </c>
      <c r="L1405" s="13">
        <v>617</v>
      </c>
      <c r="M1405" s="13">
        <v>830</v>
      </c>
      <c r="N1405" s="13">
        <v>7</v>
      </c>
      <c r="O1405" s="15"/>
      <c r="P1405" s="6">
        <v>43121.402407407411</v>
      </c>
      <c r="Q1405" s="12"/>
      <c r="R1405" s="17" t="s">
        <v>5152</v>
      </c>
      <c r="S1405" s="12"/>
      <c r="T1405" s="12"/>
      <c r="U1405" s="10" t="str">
        <f>HYPERLINK("https://pbs.twimg.com/profile_images/1014498900336676864/WMBCa_DB.jpg","View")</f>
        <v>View</v>
      </c>
    </row>
    <row r="1406" spans="1:21" ht="40.799999999999997">
      <c r="A1406" s="6">
        <v>43441.400706018518</v>
      </c>
      <c r="B1406" s="7" t="str">
        <f>HYPERLINK("https://twitter.com/romecaldes","@romecaldes")</f>
        <v>@romecaldes</v>
      </c>
      <c r="C1406" s="8" t="s">
        <v>5139</v>
      </c>
      <c r="D1406" s="9" t="s">
        <v>2685</v>
      </c>
      <c r="E1406" s="10" t="str">
        <f>HYPERLINK("https://twitter.com/romecaldes/status/1070960358360264704","1070960358360264704")</f>
        <v>1070960358360264704</v>
      </c>
      <c r="F1406" s="11" t="s">
        <v>5153</v>
      </c>
      <c r="G1406" s="12"/>
      <c r="H1406" s="12"/>
      <c r="I1406" s="13">
        <v>0</v>
      </c>
      <c r="J1406" s="13">
        <v>0</v>
      </c>
      <c r="K1406" s="14" t="str">
        <f>HYPERLINK("http://twitter.com","Twitter Web Client")</f>
        <v>Twitter Web Client</v>
      </c>
      <c r="L1406" s="13">
        <v>1286</v>
      </c>
      <c r="M1406" s="13">
        <v>1170</v>
      </c>
      <c r="N1406" s="13">
        <v>53</v>
      </c>
      <c r="O1406" s="15"/>
      <c r="P1406" s="6">
        <v>41626.88517361111</v>
      </c>
      <c r="Q1406" s="12"/>
      <c r="R1406" s="17" t="s">
        <v>5142</v>
      </c>
      <c r="S1406" s="12"/>
      <c r="T1406" s="12"/>
      <c r="U1406" s="10" t="str">
        <f>HYPERLINK("https://pbs.twimg.com/profile_images/833726529477685248/JzIbAWxB.jpg","View")</f>
        <v>View</v>
      </c>
    </row>
    <row r="1407" spans="1:21" ht="30.6">
      <c r="A1407" s="6">
        <v>43441.400648148148</v>
      </c>
      <c r="B1407" s="7" t="str">
        <f>HYPERLINK("https://twitter.com/LVetrinbajo","@LVetrinbajo")</f>
        <v>@LVetrinbajo</v>
      </c>
      <c r="C1407" s="8" t="s">
        <v>5154</v>
      </c>
      <c r="D1407" s="9" t="s">
        <v>5155</v>
      </c>
      <c r="E1407" s="10" t="str">
        <f>HYPERLINK("https://twitter.com/LVetrinbajo/status/1070960338030485504","1070960338030485504")</f>
        <v>1070960338030485504</v>
      </c>
      <c r="F1407" s="11" t="s">
        <v>5156</v>
      </c>
      <c r="G1407" s="12"/>
      <c r="H1407" s="12"/>
      <c r="I1407" s="13">
        <v>0</v>
      </c>
      <c r="J1407" s="13">
        <v>0</v>
      </c>
      <c r="K1407" s="14" t="str">
        <f>HYPERLINK("http://twitter.com/download/iphone","Twitter for iPhone")</f>
        <v>Twitter for iPhone</v>
      </c>
      <c r="L1407" s="13">
        <v>875</v>
      </c>
      <c r="M1407" s="13">
        <v>1945</v>
      </c>
      <c r="N1407" s="13">
        <v>7</v>
      </c>
      <c r="O1407" s="15"/>
      <c r="P1407" s="6">
        <v>43091.966851851852</v>
      </c>
      <c r="Q1407" s="16" t="s">
        <v>2966</v>
      </c>
      <c r="R1407" s="17" t="s">
        <v>5157</v>
      </c>
      <c r="S1407" s="12"/>
      <c r="T1407" s="12"/>
      <c r="U1407" s="10" t="str">
        <f>HYPERLINK("https://pbs.twimg.com/profile_images/1002927443542528001/Ye4GwF3U.jpg","View")</f>
        <v>View</v>
      </c>
    </row>
    <row r="1408" spans="1:21" ht="30.6">
      <c r="A1408" s="6">
        <v>43441.400173611109</v>
      </c>
      <c r="B1408" s="7" t="str">
        <f>HYPERLINK("https://twitter.com/manuel_llamas","@manuel_llamas")</f>
        <v>@manuel_llamas</v>
      </c>
      <c r="C1408" s="8" t="s">
        <v>5158</v>
      </c>
      <c r="D1408" s="9" t="s">
        <v>5018</v>
      </c>
      <c r="E1408" s="10" t="str">
        <f>HYPERLINK("https://twitter.com/manuel_llamas/status/1070960166974181377","1070960166974181377")</f>
        <v>1070960166974181377</v>
      </c>
      <c r="F1408" s="11" t="s">
        <v>115</v>
      </c>
      <c r="G1408" s="12"/>
      <c r="H1408" s="12"/>
      <c r="I1408" s="13">
        <v>5</v>
      </c>
      <c r="J1408" s="13">
        <v>3</v>
      </c>
      <c r="K1408" s="14" t="str">
        <f>HYPERLINK("http://twitter.com","Twitter Web Client")</f>
        <v>Twitter Web Client</v>
      </c>
      <c r="L1408" s="13">
        <v>30968</v>
      </c>
      <c r="M1408" s="13">
        <v>370</v>
      </c>
      <c r="N1408" s="13">
        <v>688</v>
      </c>
      <c r="O1408" s="15"/>
      <c r="P1408" s="6">
        <v>40079.814305555556</v>
      </c>
      <c r="Q1408" s="16" t="s">
        <v>60</v>
      </c>
      <c r="R1408" s="17" t="s">
        <v>5159</v>
      </c>
      <c r="S1408" s="11" t="s">
        <v>5160</v>
      </c>
      <c r="T1408" s="12"/>
      <c r="U1408" s="10" t="str">
        <f>HYPERLINK("https://pbs.twimg.com/profile_images/1278365489/fotoperfil.jpg","View")</f>
        <v>View</v>
      </c>
    </row>
    <row r="1409" spans="1:21" ht="30.6">
      <c r="A1409" s="6">
        <v>43441.40016203704</v>
      </c>
      <c r="B1409" s="7" t="str">
        <f>HYPERLINK("https://twitter.com/isamartinonhot1","@isamartinonhot1")</f>
        <v>@isamartinonhot1</v>
      </c>
      <c r="C1409" s="8" t="s">
        <v>969</v>
      </c>
      <c r="D1409" s="9" t="s">
        <v>5161</v>
      </c>
      <c r="E1409" s="10" t="str">
        <f>HYPERLINK("https://twitter.com/isamartinonhot1/status/1070960159814500352","1070960159814500352")</f>
        <v>1070960159814500352</v>
      </c>
      <c r="F1409" s="12"/>
      <c r="G1409" s="12"/>
      <c r="H1409" s="12"/>
      <c r="I1409" s="13">
        <v>0</v>
      </c>
      <c r="J1409" s="13">
        <v>0</v>
      </c>
      <c r="K1409" s="14" t="str">
        <f>HYPERLINK("http://twitter.com/download/iphone","Twitter for iPhone")</f>
        <v>Twitter for iPhone</v>
      </c>
      <c r="L1409" s="13">
        <v>6</v>
      </c>
      <c r="M1409" s="13">
        <v>58</v>
      </c>
      <c r="N1409" s="13">
        <v>0</v>
      </c>
      <c r="O1409" s="15"/>
      <c r="P1409" s="6">
        <v>43157.782291666663</v>
      </c>
      <c r="Q1409" s="16" t="s">
        <v>3464</v>
      </c>
      <c r="R1409" s="19"/>
      <c r="S1409" s="12"/>
      <c r="T1409" s="12"/>
      <c r="U1409" s="10" t="str">
        <f>HYPERLINK("https://pbs.twimg.com/profile_images/969293065918787587/xRacGXsK.jpg","View")</f>
        <v>View</v>
      </c>
    </row>
    <row r="1410" spans="1:21" ht="30.6">
      <c r="A1410" s="6">
        <v>43441.39979166667</v>
      </c>
      <c r="B1410" s="7" t="str">
        <f>HYPERLINK("https://twitter.com/GregorioTebar","@GregorioTebar")</f>
        <v>@GregorioTebar</v>
      </c>
      <c r="C1410" s="8" t="s">
        <v>5162</v>
      </c>
      <c r="D1410" s="9" t="s">
        <v>5163</v>
      </c>
      <c r="E1410" s="10" t="str">
        <f>HYPERLINK("https://twitter.com/GregorioTebar/status/1070960027282915328","1070960027282915328")</f>
        <v>1070960027282915328</v>
      </c>
      <c r="F1410" s="12"/>
      <c r="G1410" s="12"/>
      <c r="H1410" s="12"/>
      <c r="I1410" s="13">
        <v>0</v>
      </c>
      <c r="J1410" s="13">
        <v>1</v>
      </c>
      <c r="K1410" s="14" t="str">
        <f t="shared" ref="K1410:K1411" si="236">HYPERLINK("http://twitter.com/download/android","Twitter for Android")</f>
        <v>Twitter for Android</v>
      </c>
      <c r="L1410" s="13">
        <v>686</v>
      </c>
      <c r="M1410" s="13">
        <v>2697</v>
      </c>
      <c r="N1410" s="13">
        <v>4</v>
      </c>
      <c r="O1410" s="15"/>
      <c r="P1410" s="6">
        <v>40658.770405092597</v>
      </c>
      <c r="Q1410" s="16" t="s">
        <v>60</v>
      </c>
      <c r="R1410" s="19"/>
      <c r="S1410" s="12"/>
      <c r="T1410" s="12"/>
      <c r="U1410" s="10" t="str">
        <f>HYPERLINK("https://pbs.twimg.com/profile_images/463718340247040000/1P9yo5vY.jpeg","View")</f>
        <v>View</v>
      </c>
    </row>
    <row r="1411" spans="1:21" ht="30.6">
      <c r="A1411" s="6">
        <v>43441.399398148147</v>
      </c>
      <c r="B1411" s="7" t="str">
        <f>HYPERLINK("https://twitter.com/SFerres","@SFerres")</f>
        <v>@SFerres</v>
      </c>
      <c r="C1411" s="8" t="s">
        <v>5164</v>
      </c>
      <c r="D1411" s="9" t="s">
        <v>5165</v>
      </c>
      <c r="E1411" s="10" t="str">
        <f>HYPERLINK("https://twitter.com/SFerres/status/1070959883435028480","1070959883435028480")</f>
        <v>1070959883435028480</v>
      </c>
      <c r="F1411" s="12"/>
      <c r="G1411" s="12"/>
      <c r="H1411" s="12"/>
      <c r="I1411" s="13">
        <v>0</v>
      </c>
      <c r="J1411" s="13">
        <v>0</v>
      </c>
      <c r="K1411" s="14" t="str">
        <f t="shared" si="236"/>
        <v>Twitter for Android</v>
      </c>
      <c r="L1411" s="13">
        <v>972</v>
      </c>
      <c r="M1411" s="13">
        <v>1252</v>
      </c>
      <c r="N1411" s="13">
        <v>20</v>
      </c>
      <c r="O1411" s="15"/>
      <c r="P1411" s="6">
        <v>40761.748993055553</v>
      </c>
      <c r="Q1411" s="12"/>
      <c r="R1411" s="19"/>
      <c r="S1411" s="12"/>
      <c r="T1411" s="12"/>
      <c r="U1411" s="10" t="str">
        <f>HYPERLINK("https://pbs.twimg.com/profile_images/3475064080/cb5a9f2935a740d7fdf9d25b0a91e676.jpeg","View")</f>
        <v>View</v>
      </c>
    </row>
    <row r="1412" spans="1:21" ht="51">
      <c r="A1412" s="6">
        <v>43441.397881944446</v>
      </c>
      <c r="B1412" s="7" t="str">
        <f>HYPERLINK("https://twitter.com/brubeaker","@brubeaker")</f>
        <v>@brubeaker</v>
      </c>
      <c r="C1412" s="8" t="s">
        <v>4939</v>
      </c>
      <c r="D1412" s="9" t="s">
        <v>5166</v>
      </c>
      <c r="E1412" s="10" t="str">
        <f>HYPERLINK("https://twitter.com/brubeaker/status/1070959333771538433","1070959333771538433")</f>
        <v>1070959333771538433</v>
      </c>
      <c r="F1412" s="12"/>
      <c r="G1412" s="12"/>
      <c r="H1412" s="12"/>
      <c r="I1412" s="13">
        <v>0</v>
      </c>
      <c r="J1412" s="13">
        <v>0</v>
      </c>
      <c r="K1412" s="14" t="str">
        <f>HYPERLINK("http://twitter.com","Twitter Web Client")</f>
        <v>Twitter Web Client</v>
      </c>
      <c r="L1412" s="13">
        <v>38</v>
      </c>
      <c r="M1412" s="13">
        <v>164</v>
      </c>
      <c r="N1412" s="13">
        <v>2</v>
      </c>
      <c r="O1412" s="15"/>
      <c r="P1412" s="6">
        <v>41780.336550925924</v>
      </c>
      <c r="Q1412" s="12"/>
      <c r="R1412" s="17" t="s">
        <v>4941</v>
      </c>
      <c r="S1412" s="12"/>
      <c r="T1412" s="12"/>
      <c r="U1412" s="10" t="str">
        <f>HYPERLINK("https://pbs.twimg.com/profile_images/1036025081179332608/VWYH9QdS.jpg","View")</f>
        <v>View</v>
      </c>
    </row>
    <row r="1413" spans="1:21" ht="30.6">
      <c r="A1413" s="6">
        <v>43441.397361111114</v>
      </c>
      <c r="B1413" s="7" t="str">
        <f>HYPERLINK("https://twitter.com/LadyGodivaLib","@LadyGodivaLib")</f>
        <v>@LadyGodivaLib</v>
      </c>
      <c r="C1413" s="8" t="s">
        <v>5066</v>
      </c>
      <c r="D1413" s="9" t="s">
        <v>3317</v>
      </c>
      <c r="E1413" s="10" t="str">
        <f>HYPERLINK("https://twitter.com/LadyGodivaLib/status/1070959147905179648","1070959147905179648")</f>
        <v>1070959147905179648</v>
      </c>
      <c r="F1413" s="11" t="s">
        <v>5167</v>
      </c>
      <c r="G1413" s="12"/>
      <c r="H1413" s="12"/>
      <c r="I1413" s="13">
        <v>0</v>
      </c>
      <c r="J1413" s="13">
        <v>1</v>
      </c>
      <c r="K1413" s="14" t="str">
        <f>HYPERLINK("http://twitter.com/download/iphone","Twitter for iPhone")</f>
        <v>Twitter for iPhone</v>
      </c>
      <c r="L1413" s="13">
        <v>171</v>
      </c>
      <c r="M1413" s="13">
        <v>309</v>
      </c>
      <c r="N1413" s="13">
        <v>1</v>
      </c>
      <c r="O1413" s="15"/>
      <c r="P1413" s="6">
        <v>43373.990891203706</v>
      </c>
      <c r="Q1413" s="16" t="s">
        <v>60</v>
      </c>
      <c r="R1413" s="17" t="s">
        <v>5068</v>
      </c>
      <c r="S1413" s="12"/>
      <c r="T1413" s="12"/>
      <c r="U1413" s="10" t="str">
        <f>HYPERLINK("https://pbs.twimg.com/profile_images/1046517219839152128/IazP7HUi.jpg","View")</f>
        <v>View</v>
      </c>
    </row>
    <row r="1414" spans="1:21" ht="51">
      <c r="A1414" s="6">
        <v>43441.397280092591</v>
      </c>
      <c r="B1414" s="7" t="str">
        <f>HYPERLINK("https://twitter.com/Lorenescfan","@Lorenescfan")</f>
        <v>@Lorenescfan</v>
      </c>
      <c r="C1414" s="8" t="s">
        <v>5169</v>
      </c>
      <c r="D1414" s="9" t="s">
        <v>5170</v>
      </c>
      <c r="E1414" s="10" t="str">
        <f>HYPERLINK("https://twitter.com/Lorenescfan/status/1070959115780923393","1070959115780923393")</f>
        <v>1070959115780923393</v>
      </c>
      <c r="F1414" s="12"/>
      <c r="G1414" s="11" t="s">
        <v>5171</v>
      </c>
      <c r="H1414" s="12"/>
      <c r="I1414" s="13">
        <v>2</v>
      </c>
      <c r="J1414" s="13">
        <v>5</v>
      </c>
      <c r="K1414" s="14" t="str">
        <f>HYPERLINK("http://twitter.com","Twitter Web Client")</f>
        <v>Twitter Web Client</v>
      </c>
      <c r="L1414" s="13">
        <v>2444</v>
      </c>
      <c r="M1414" s="13">
        <v>2301</v>
      </c>
      <c r="N1414" s="13">
        <v>62</v>
      </c>
      <c r="O1414" s="15"/>
      <c r="P1414" s="6">
        <v>40439.521747685183</v>
      </c>
      <c r="Q1414" s="16" t="s">
        <v>5172</v>
      </c>
      <c r="R1414" s="17" t="s">
        <v>5173</v>
      </c>
      <c r="S1414" s="11" t="s">
        <v>5174</v>
      </c>
      <c r="T1414" s="12"/>
      <c r="U1414" s="10" t="str">
        <f>HYPERLINK("https://pbs.twimg.com/profile_images/1032037077641293824/sYq9ZSeG.jpg","View")</f>
        <v>View</v>
      </c>
    </row>
    <row r="1415" spans="1:21" ht="30.6">
      <c r="A1415" s="6">
        <v>43441.396331018521</v>
      </c>
      <c r="B1415" s="7" t="str">
        <f>HYPERLINK("https://twitter.com/miguel112932","@miguel112932")</f>
        <v>@miguel112932</v>
      </c>
      <c r="C1415" s="8" t="s">
        <v>5176</v>
      </c>
      <c r="D1415" s="9" t="s">
        <v>5177</v>
      </c>
      <c r="E1415" s="10" t="str">
        <f>HYPERLINK("https://twitter.com/miguel112932/status/1070958770786832384","1070958770786832384")</f>
        <v>1070958770786832384</v>
      </c>
      <c r="F1415" s="12"/>
      <c r="G1415" s="11" t="s">
        <v>5178</v>
      </c>
      <c r="H1415" s="12"/>
      <c r="I1415" s="13">
        <v>1</v>
      </c>
      <c r="J1415" s="13">
        <v>0</v>
      </c>
      <c r="K1415" s="14" t="str">
        <f>HYPERLINK("http://twitter.com/download/android","Twitter for Android")</f>
        <v>Twitter for Android</v>
      </c>
      <c r="L1415" s="13">
        <v>60</v>
      </c>
      <c r="M1415" s="13">
        <v>317</v>
      </c>
      <c r="N1415" s="13">
        <v>0</v>
      </c>
      <c r="O1415" s="15"/>
      <c r="P1415" s="6">
        <v>41940.40315972222</v>
      </c>
      <c r="Q1415" s="16" t="s">
        <v>1073</v>
      </c>
      <c r="R1415" s="17" t="s">
        <v>5179</v>
      </c>
      <c r="S1415" s="12"/>
      <c r="T1415" s="12"/>
      <c r="U1415" s="10" t="str">
        <f>HYPERLINK("https://pbs.twimg.com/profile_images/527017553281818625/mEeXrmLG.jpeg","View")</f>
        <v>View</v>
      </c>
    </row>
    <row r="1416" spans="1:21" ht="30.6">
      <c r="A1416" s="6">
        <v>43441.396030092597</v>
      </c>
      <c r="B1416" s="7" t="str">
        <f>HYPERLINK("https://twitter.com/bboy_Jjo","@bboy_Jjo")</f>
        <v>@bboy_Jjo</v>
      </c>
      <c r="C1416" s="8" t="s">
        <v>5180</v>
      </c>
      <c r="D1416" s="9" t="s">
        <v>5181</v>
      </c>
      <c r="E1416" s="10" t="str">
        <f>HYPERLINK("https://twitter.com/bboy_Jjo/status/1070958663534342144","1070958663534342144")</f>
        <v>1070958663534342144</v>
      </c>
      <c r="F1416" s="11" t="s">
        <v>5182</v>
      </c>
      <c r="G1416" s="12"/>
      <c r="H1416" s="12"/>
      <c r="I1416" s="13">
        <v>0</v>
      </c>
      <c r="J1416" s="13">
        <v>0</v>
      </c>
      <c r="K1416" s="14" t="str">
        <f>HYPERLINK("http://www.facebook.com/twitter","Facebook")</f>
        <v>Facebook</v>
      </c>
      <c r="L1416" s="13">
        <v>436</v>
      </c>
      <c r="M1416" s="13">
        <v>1229</v>
      </c>
      <c r="N1416" s="13">
        <v>6</v>
      </c>
      <c r="O1416" s="15"/>
      <c r="P1416" s="6">
        <v>40121.581655092596</v>
      </c>
      <c r="Q1416" s="16" t="s">
        <v>3331</v>
      </c>
      <c r="R1416" s="17" t="s">
        <v>5183</v>
      </c>
      <c r="S1416" s="11" t="s">
        <v>5184</v>
      </c>
      <c r="T1416" s="12"/>
      <c r="U1416" s="10" t="str">
        <f>HYPERLINK("https://pbs.twimg.com/profile_images/720629331018588161/7ISJSjlA.jpg","View")</f>
        <v>View</v>
      </c>
    </row>
    <row r="1417" spans="1:21" ht="30.6">
      <c r="A1417" s="6">
        <v>43441.395868055552</v>
      </c>
      <c r="B1417" s="7" t="str">
        <f>HYPERLINK("https://twitter.com/fmprogresistas","@fmprogresistas")</f>
        <v>@fmprogresistas</v>
      </c>
      <c r="C1417" s="8" t="s">
        <v>5185</v>
      </c>
      <c r="D1417" s="9" t="s">
        <v>5186</v>
      </c>
      <c r="E1417" s="10" t="str">
        <f>HYPERLINK("https://twitter.com/fmprogresistas/status/1070958606659608576","1070958606659608576")</f>
        <v>1070958606659608576</v>
      </c>
      <c r="F1417" s="11" t="s">
        <v>3534</v>
      </c>
      <c r="G1417" s="12"/>
      <c r="H1417" s="12"/>
      <c r="I1417" s="13">
        <v>0</v>
      </c>
      <c r="J1417" s="13">
        <v>0</v>
      </c>
      <c r="K1417" s="14" t="str">
        <f t="shared" ref="K1417:K1418" si="237">HYPERLINK("http://twitter.com","Twitter Web Client")</f>
        <v>Twitter Web Client</v>
      </c>
      <c r="L1417" s="13">
        <v>12586</v>
      </c>
      <c r="M1417" s="13">
        <v>989</v>
      </c>
      <c r="N1417" s="13">
        <v>285</v>
      </c>
      <c r="O1417" s="15"/>
      <c r="P1417" s="6">
        <v>40678.758356481485</v>
      </c>
      <c r="Q1417" s="16" t="s">
        <v>1408</v>
      </c>
      <c r="R1417" s="17" t="s">
        <v>5187</v>
      </c>
      <c r="S1417" s="11" t="s">
        <v>5188</v>
      </c>
      <c r="T1417" s="12"/>
      <c r="U1417" s="10" t="str">
        <f>HYPERLINK("https://pbs.twimg.com/profile_images/2363410993/z4wfzcuczewa6okvog87.jpeg","View")</f>
        <v>View</v>
      </c>
    </row>
    <row r="1418" spans="1:21" ht="40.799999999999997">
      <c r="A1418" s="6">
        <v>43441.395682870367</v>
      </c>
      <c r="B1418" s="7" t="str">
        <f>HYPERLINK("https://twitter.com/racle7","@racle7")</f>
        <v>@racle7</v>
      </c>
      <c r="C1418" s="8" t="s">
        <v>5189</v>
      </c>
      <c r="D1418" s="9" t="s">
        <v>5190</v>
      </c>
      <c r="E1418" s="10" t="str">
        <f>HYPERLINK("https://twitter.com/racle7/status/1070958539085148161","1070958539085148161")</f>
        <v>1070958539085148161</v>
      </c>
      <c r="F1418" s="11" t="s">
        <v>4553</v>
      </c>
      <c r="G1418" s="12"/>
      <c r="H1418" s="12"/>
      <c r="I1418" s="13">
        <v>6</v>
      </c>
      <c r="J1418" s="13">
        <v>3</v>
      </c>
      <c r="K1418" s="14" t="str">
        <f t="shared" si="237"/>
        <v>Twitter Web Client</v>
      </c>
      <c r="L1418" s="13">
        <v>2717</v>
      </c>
      <c r="M1418" s="13">
        <v>2769</v>
      </c>
      <c r="N1418" s="13">
        <v>51</v>
      </c>
      <c r="O1418" s="15"/>
      <c r="P1418" s="6">
        <v>40457.914456018516</v>
      </c>
      <c r="Q1418" s="12"/>
      <c r="R1418" s="17" t="s">
        <v>5191</v>
      </c>
      <c r="S1418" s="12"/>
      <c r="T1418" s="12"/>
      <c r="U1418" s="10" t="str">
        <f>HYPERLINK("https://pbs.twimg.com/profile_images/2103468825/1498.gif","View")</f>
        <v>View</v>
      </c>
    </row>
    <row r="1419" spans="1:21" ht="51">
      <c r="A1419" s="6">
        <v>43441.395532407405</v>
      </c>
      <c r="B1419" s="7" t="str">
        <f>HYPERLINK("https://twitter.com/clubdeviernes","@clubdeviernes")</f>
        <v>@clubdeviernes</v>
      </c>
      <c r="C1419" s="8" t="s">
        <v>5192</v>
      </c>
      <c r="D1419" s="9" t="s">
        <v>5193</v>
      </c>
      <c r="E1419" s="10" t="str">
        <f>HYPERLINK("https://twitter.com/clubdeviernes/status/1070958484206825472","1070958484206825472")</f>
        <v>1070958484206825472</v>
      </c>
      <c r="F1419" s="11" t="s">
        <v>115</v>
      </c>
      <c r="G1419" s="12"/>
      <c r="H1419" s="12"/>
      <c r="I1419" s="13">
        <v>76</v>
      </c>
      <c r="J1419" s="13">
        <v>42</v>
      </c>
      <c r="K1419" s="14" t="str">
        <f t="shared" ref="K1419:K1420" si="238">HYPERLINK("http://twitter.com/download/android","Twitter for Android")</f>
        <v>Twitter for Android</v>
      </c>
      <c r="L1419" s="13">
        <v>53874</v>
      </c>
      <c r="M1419" s="13">
        <v>11252</v>
      </c>
      <c r="N1419" s="13">
        <v>580</v>
      </c>
      <c r="O1419" s="18" t="s">
        <v>41</v>
      </c>
      <c r="P1419" s="6">
        <v>42001.706365740742</v>
      </c>
      <c r="Q1419" s="16" t="s">
        <v>60</v>
      </c>
      <c r="R1419" s="17" t="s">
        <v>5194</v>
      </c>
      <c r="S1419" s="11" t="s">
        <v>5195</v>
      </c>
      <c r="T1419" s="12"/>
      <c r="U1419" s="10" t="str">
        <f>HYPERLINK("https://pbs.twimg.com/profile_images/1050461122363609088/CI9sSBYY.jpg","View")</f>
        <v>View</v>
      </c>
    </row>
    <row r="1420" spans="1:21" ht="30.6">
      <c r="A1420" s="6">
        <v>43441.395451388889</v>
      </c>
      <c r="B1420" s="7" t="str">
        <f>HYPERLINK("https://twitter.com/Sindy_ro","@Sindy_ro")</f>
        <v>@Sindy_ro</v>
      </c>
      <c r="C1420" s="8" t="s">
        <v>5196</v>
      </c>
      <c r="D1420" s="9" t="s">
        <v>3317</v>
      </c>
      <c r="E1420" s="10" t="str">
        <f>HYPERLINK("https://twitter.com/Sindy_ro/status/1070958453093527552","1070958453093527552")</f>
        <v>1070958453093527552</v>
      </c>
      <c r="F1420" s="11" t="s">
        <v>5197</v>
      </c>
      <c r="G1420" s="12"/>
      <c r="H1420" s="12"/>
      <c r="I1420" s="13">
        <v>1</v>
      </c>
      <c r="J1420" s="13">
        <v>0</v>
      </c>
      <c r="K1420" s="14" t="str">
        <f t="shared" si="238"/>
        <v>Twitter for Android</v>
      </c>
      <c r="L1420" s="13">
        <v>1620</v>
      </c>
      <c r="M1420" s="13">
        <v>1618</v>
      </c>
      <c r="N1420" s="13">
        <v>17</v>
      </c>
      <c r="O1420" s="15"/>
      <c r="P1420" s="6">
        <v>40640.47252314815</v>
      </c>
      <c r="Q1420" s="12"/>
      <c r="R1420" s="17" t="s">
        <v>5198</v>
      </c>
      <c r="S1420" s="12"/>
      <c r="T1420" s="12"/>
      <c r="U1420" s="10" t="str">
        <f>HYPERLINK("https://pbs.twimg.com/profile_images/2363570892/b9v3raongy72pya26rr4.jpeg","View")</f>
        <v>View</v>
      </c>
    </row>
    <row r="1421" spans="1:21" ht="40.799999999999997">
      <c r="A1421" s="6">
        <v>43441.394988425927</v>
      </c>
      <c r="B1421" s="7" t="str">
        <f>HYPERLINK("https://twitter.com/ArwenPlaza","@ArwenPlaza")</f>
        <v>@ArwenPlaza</v>
      </c>
      <c r="C1421" s="8" t="s">
        <v>1906</v>
      </c>
      <c r="D1421" s="9" t="s">
        <v>2269</v>
      </c>
      <c r="E1421" s="10" t="str">
        <f>HYPERLINK("https://twitter.com/ArwenPlaza/status/1070958287326191616","1070958287326191616")</f>
        <v>1070958287326191616</v>
      </c>
      <c r="F1421" s="11" t="s">
        <v>2270</v>
      </c>
      <c r="G1421" s="12"/>
      <c r="H1421" s="12"/>
      <c r="I1421" s="13">
        <v>2</v>
      </c>
      <c r="J1421" s="13">
        <v>0</v>
      </c>
      <c r="K1421" s="14" t="str">
        <f t="shared" ref="K1421:K1422" si="239">HYPERLINK("http://twitter.com/download/iphone","Twitter for iPhone")</f>
        <v>Twitter for iPhone</v>
      </c>
      <c r="L1421" s="13">
        <v>5707</v>
      </c>
      <c r="M1421" s="13">
        <v>4584</v>
      </c>
      <c r="N1421" s="13">
        <v>77</v>
      </c>
      <c r="O1421" s="15"/>
      <c r="P1421" s="6">
        <v>40933.843842592592</v>
      </c>
      <c r="Q1421" s="12"/>
      <c r="R1421" s="17" t="s">
        <v>1907</v>
      </c>
      <c r="S1421" s="12"/>
      <c r="T1421" s="12"/>
      <c r="U1421" s="10" t="str">
        <f>HYPERLINK("https://pbs.twimg.com/profile_images/786565403870896128/vQQe5n43.jpg","View")</f>
        <v>View</v>
      </c>
    </row>
    <row r="1422" spans="1:21" ht="71.400000000000006">
      <c r="A1422" s="6">
        <v>43441.394375000003</v>
      </c>
      <c r="B1422" s="7" t="str">
        <f>HYPERLINK("https://twitter.com/sanchezjsc96","@sanchezjsc96")</f>
        <v>@sanchezjsc96</v>
      </c>
      <c r="C1422" s="8" t="s">
        <v>5199</v>
      </c>
      <c r="D1422" s="9" t="s">
        <v>5200</v>
      </c>
      <c r="E1422" s="10" t="str">
        <f>HYPERLINK("https://twitter.com/sanchezjsc96/status/1070958064227024896","1070958064227024896")</f>
        <v>1070958064227024896</v>
      </c>
      <c r="F1422" s="11" t="s">
        <v>54</v>
      </c>
      <c r="G1422" s="11" t="s">
        <v>55</v>
      </c>
      <c r="H1422" s="12"/>
      <c r="I1422" s="13">
        <v>0</v>
      </c>
      <c r="J1422" s="13">
        <v>1</v>
      </c>
      <c r="K1422" s="14" t="str">
        <f t="shared" si="239"/>
        <v>Twitter for iPhone</v>
      </c>
      <c r="L1422" s="13">
        <v>420</v>
      </c>
      <c r="M1422" s="13">
        <v>208</v>
      </c>
      <c r="N1422" s="13">
        <v>0</v>
      </c>
      <c r="O1422" s="15"/>
      <c r="P1422" s="6">
        <v>40806.795833333337</v>
      </c>
      <c r="Q1422" s="16" t="s">
        <v>3337</v>
      </c>
      <c r="R1422" s="17" t="s">
        <v>5201</v>
      </c>
      <c r="S1422" s="12"/>
      <c r="T1422" s="12"/>
      <c r="U1422" s="10" t="str">
        <f>HYPERLINK("https://pbs.twimg.com/profile_images/1070380780977819653/nsjdTerB.jpg","View")</f>
        <v>View</v>
      </c>
    </row>
    <row r="1423" spans="1:21" ht="30.6">
      <c r="A1423" s="6">
        <v>43441.39434027778</v>
      </c>
      <c r="B1423" s="7" t="str">
        <f>HYPERLINK("https://twitter.com/RenedoPSOE","@RenedoPSOE")</f>
        <v>@RenedoPSOE</v>
      </c>
      <c r="C1423" s="8" t="s">
        <v>5202</v>
      </c>
      <c r="D1423" s="9" t="s">
        <v>4198</v>
      </c>
      <c r="E1423" s="10" t="str">
        <f>HYPERLINK("https://twitter.com/RenedoPSOE/status/1070958051732217856","1070958051732217856")</f>
        <v>1070958051732217856</v>
      </c>
      <c r="F1423" s="11" t="s">
        <v>1185</v>
      </c>
      <c r="G1423" s="12"/>
      <c r="H1423" s="12"/>
      <c r="I1423" s="13">
        <v>0</v>
      </c>
      <c r="J1423" s="13">
        <v>0</v>
      </c>
      <c r="K1423" s="14" t="str">
        <f t="shared" ref="K1423:K1424" si="240">HYPERLINK("http://twitter.com/download/android","Twitter for Android")</f>
        <v>Twitter for Android</v>
      </c>
      <c r="L1423" s="13">
        <v>407</v>
      </c>
      <c r="M1423" s="13">
        <v>524</v>
      </c>
      <c r="N1423" s="13">
        <v>38</v>
      </c>
      <c r="O1423" s="15"/>
      <c r="P1423" s="6">
        <v>42110.827627314815</v>
      </c>
      <c r="Q1423" s="12"/>
      <c r="R1423" s="17" t="s">
        <v>5203</v>
      </c>
      <c r="S1423" s="12"/>
      <c r="T1423" s="12"/>
      <c r="U1423" s="10" t="str">
        <f>HYPERLINK("https://pbs.twimg.com/profile_images/1009827391244570625/A1REhcii.jpg","View")</f>
        <v>View</v>
      </c>
    </row>
    <row r="1424" spans="1:21" ht="20.399999999999999">
      <c r="A1424" s="6">
        <v>43441.394259259258</v>
      </c>
      <c r="B1424" s="7" t="str">
        <f>HYPERLINK("https://twitter.com/JorgeVelascoHe","@JorgeVelascoHe")</f>
        <v>@JorgeVelascoHe</v>
      </c>
      <c r="C1424" s="8" t="s">
        <v>5204</v>
      </c>
      <c r="D1424" s="9" t="s">
        <v>4198</v>
      </c>
      <c r="E1424" s="10" t="str">
        <f>HYPERLINK("https://twitter.com/JorgeVelascoHe/status/1070958023064072202","1070958023064072202")</f>
        <v>1070958023064072202</v>
      </c>
      <c r="F1424" s="11" t="s">
        <v>1185</v>
      </c>
      <c r="G1424" s="12"/>
      <c r="H1424" s="12"/>
      <c r="I1424" s="13">
        <v>0</v>
      </c>
      <c r="J1424" s="13">
        <v>0</v>
      </c>
      <c r="K1424" s="14" t="str">
        <f t="shared" si="240"/>
        <v>Twitter for Android</v>
      </c>
      <c r="L1424" s="13">
        <v>428</v>
      </c>
      <c r="M1424" s="13">
        <v>546</v>
      </c>
      <c r="N1424" s="13">
        <v>20</v>
      </c>
      <c r="O1424" s="15"/>
      <c r="P1424" s="6">
        <v>42219.764768518522</v>
      </c>
      <c r="Q1424" s="12"/>
      <c r="R1424" s="17" t="s">
        <v>5207</v>
      </c>
      <c r="S1424" s="12"/>
      <c r="T1424" s="12"/>
      <c r="U1424" s="10" t="str">
        <f>HYPERLINK("https://pbs.twimg.com/profile_images/649607425033695232/od9-Pe3b.jpg","View")</f>
        <v>View</v>
      </c>
    </row>
    <row r="1425" spans="1:21" ht="30.6">
      <c r="A1425" s="6">
        <v>43441.393206018518</v>
      </c>
      <c r="B1425" s="7" t="str">
        <f>HYPERLINK("https://twitter.com/CsLaRioja","@CsLaRioja")</f>
        <v>@CsLaRioja</v>
      </c>
      <c r="C1425" s="8" t="s">
        <v>5208</v>
      </c>
      <c r="D1425" s="9" t="s">
        <v>5209</v>
      </c>
      <c r="E1425" s="10" t="str">
        <f>HYPERLINK("https://twitter.com/CsLaRioja/status/1070957641193672704","1070957641193672704")</f>
        <v>1070957641193672704</v>
      </c>
      <c r="F1425" s="11" t="s">
        <v>5210</v>
      </c>
      <c r="G1425" s="11" t="s">
        <v>5211</v>
      </c>
      <c r="H1425" s="12"/>
      <c r="I1425" s="13">
        <v>2</v>
      </c>
      <c r="J1425" s="13">
        <v>2</v>
      </c>
      <c r="K1425" s="14" t="str">
        <f t="shared" ref="K1425:K1426" si="241">HYPERLINK("http://twitter.com","Twitter Web Client")</f>
        <v>Twitter Web Client</v>
      </c>
      <c r="L1425" s="13">
        <v>4222</v>
      </c>
      <c r="M1425" s="13">
        <v>1615</v>
      </c>
      <c r="N1425" s="13">
        <v>83</v>
      </c>
      <c r="O1425" s="18" t="s">
        <v>41</v>
      </c>
      <c r="P1425" s="6">
        <v>41950.884421296294</v>
      </c>
      <c r="Q1425" s="16" t="s">
        <v>5212</v>
      </c>
      <c r="R1425" s="17" t="s">
        <v>5213</v>
      </c>
      <c r="S1425" s="11" t="s">
        <v>5214</v>
      </c>
      <c r="T1425" s="12"/>
      <c r="U1425" s="10" t="str">
        <f>HYPERLINK("https://pbs.twimg.com/profile_images/1053530865739988993/qxMztW6q.jpg","View")</f>
        <v>View</v>
      </c>
    </row>
    <row r="1426" spans="1:21" ht="40.799999999999997">
      <c r="A1426" s="6">
        <v>43441.393159722225</v>
      </c>
      <c r="B1426" s="7" t="str">
        <f>HYPERLINK("https://twitter.com/NoticiasNavarra","@NoticiasNavarra")</f>
        <v>@NoticiasNavarra</v>
      </c>
      <c r="C1426" s="8" t="s">
        <v>5215</v>
      </c>
      <c r="D1426" s="9" t="s">
        <v>5216</v>
      </c>
      <c r="E1426" s="10" t="str">
        <f>HYPERLINK("https://twitter.com/NoticiasNavarra/status/1070957622042480640","1070957622042480640")</f>
        <v>1070957622042480640</v>
      </c>
      <c r="F1426" s="11" t="s">
        <v>5217</v>
      </c>
      <c r="G1426" s="12"/>
      <c r="H1426" s="12"/>
      <c r="I1426" s="13">
        <v>0</v>
      </c>
      <c r="J1426" s="13">
        <v>0</v>
      </c>
      <c r="K1426" s="14" t="str">
        <f t="shared" si="241"/>
        <v>Twitter Web Client</v>
      </c>
      <c r="L1426" s="13">
        <v>79340</v>
      </c>
      <c r="M1426" s="13">
        <v>3648</v>
      </c>
      <c r="N1426" s="13">
        <v>1050</v>
      </c>
      <c r="O1426" s="18" t="s">
        <v>41</v>
      </c>
      <c r="P1426" s="6">
        <v>39878.597395833334</v>
      </c>
      <c r="Q1426" s="16" t="s">
        <v>1541</v>
      </c>
      <c r="R1426" s="17" t="s">
        <v>5218</v>
      </c>
      <c r="S1426" s="11" t="s">
        <v>5219</v>
      </c>
      <c r="T1426" s="12"/>
      <c r="U1426" s="10" t="str">
        <f>HYPERLINK("https://pbs.twimg.com/profile_images/2725279347/c0d4ba7f1587ae11debdb114e2074f73.png","View")</f>
        <v>View</v>
      </c>
    </row>
    <row r="1427" spans="1:21" ht="30.6">
      <c r="A1427" s="6">
        <v>43441.39267361111</v>
      </c>
      <c r="B1427" s="7" t="str">
        <f>HYPERLINK("https://twitter.com/jejesegarrajeje","@jejesegarrajeje")</f>
        <v>@jejesegarrajeje</v>
      </c>
      <c r="C1427" s="8" t="s">
        <v>5220</v>
      </c>
      <c r="D1427" s="9" t="s">
        <v>4861</v>
      </c>
      <c r="E1427" s="10" t="str">
        <f>HYPERLINK("https://twitter.com/jejesegarrajeje/status/1070957448578719744","1070957448578719744")</f>
        <v>1070957448578719744</v>
      </c>
      <c r="F1427" s="11" t="s">
        <v>4611</v>
      </c>
      <c r="G1427" s="12"/>
      <c r="H1427" s="12"/>
      <c r="I1427" s="13">
        <v>0</v>
      </c>
      <c r="J1427" s="13">
        <v>0</v>
      </c>
      <c r="K1427" s="14" t="str">
        <f>HYPERLINK("http://twitter.com/download/iphone","Twitter for iPhone")</f>
        <v>Twitter for iPhone</v>
      </c>
      <c r="L1427" s="13">
        <v>118</v>
      </c>
      <c r="M1427" s="13">
        <v>462</v>
      </c>
      <c r="N1427" s="13">
        <v>1</v>
      </c>
      <c r="O1427" s="15"/>
      <c r="P1427" s="6">
        <v>40902.049143518518</v>
      </c>
      <c r="Q1427" s="16" t="s">
        <v>5221</v>
      </c>
      <c r="R1427" s="17" t="s">
        <v>5222</v>
      </c>
      <c r="S1427" s="12"/>
      <c r="T1427" s="12"/>
      <c r="U1427" s="10" t="str">
        <f>HYPERLINK("https://pbs.twimg.com/profile_images/960921247067590657/P8hZ-Ix3.jpg","View")</f>
        <v>View</v>
      </c>
    </row>
    <row r="1428" spans="1:21" ht="40.799999999999997">
      <c r="A1428" s="6">
        <v>43441.392546296294</v>
      </c>
      <c r="B1428" s="7" t="str">
        <f>HYPERLINK("https://twitter.com/_Inconformistas","@_Inconformistas")</f>
        <v>@_Inconformistas</v>
      </c>
      <c r="C1428" s="8" t="s">
        <v>5223</v>
      </c>
      <c r="D1428" s="9" t="s">
        <v>5224</v>
      </c>
      <c r="E1428" s="10" t="str">
        <f>HYPERLINK("https://twitter.com/_Inconformistas/status/1070957401732468736","1070957401732468736")</f>
        <v>1070957401732468736</v>
      </c>
      <c r="F1428" s="11" t="s">
        <v>5225</v>
      </c>
      <c r="G1428" s="12"/>
      <c r="H1428" s="12"/>
      <c r="I1428" s="13">
        <v>0</v>
      </c>
      <c r="J1428" s="13">
        <v>1</v>
      </c>
      <c r="K1428" s="14" t="str">
        <f>HYPERLINK("http://twitter.com","Twitter Web Client")</f>
        <v>Twitter Web Client</v>
      </c>
      <c r="L1428" s="13">
        <v>1878</v>
      </c>
      <c r="M1428" s="13">
        <v>4042</v>
      </c>
      <c r="N1428" s="13">
        <v>23</v>
      </c>
      <c r="O1428" s="15"/>
      <c r="P1428" s="6">
        <v>42573.030011574076</v>
      </c>
      <c r="Q1428" s="16" t="s">
        <v>60</v>
      </c>
      <c r="R1428" s="17" t="s">
        <v>5226</v>
      </c>
      <c r="S1428" s="12"/>
      <c r="T1428" s="12"/>
      <c r="U1428" s="10" t="str">
        <f>HYPERLINK("https://pbs.twimg.com/profile_images/772053656812261376/1sRcP-zH.jpg","View")</f>
        <v>View</v>
      </c>
    </row>
    <row r="1429" spans="1:21" ht="30.6">
      <c r="A1429" s="6">
        <v>43441.390949074077</v>
      </c>
      <c r="B1429" s="7" t="str">
        <f>HYPERLINK("https://twitter.com/okdiario","@okdiario")</f>
        <v>@okdiario</v>
      </c>
      <c r="C1429" s="8" t="s">
        <v>1581</v>
      </c>
      <c r="D1429" s="9" t="s">
        <v>5227</v>
      </c>
      <c r="E1429" s="10" t="str">
        <f>HYPERLINK("https://twitter.com/okdiario/status/1070956821794324480","1070956821794324480")</f>
        <v>1070956821794324480</v>
      </c>
      <c r="F1429" s="11" t="s">
        <v>5228</v>
      </c>
      <c r="G1429" s="12"/>
      <c r="H1429" s="12"/>
      <c r="I1429" s="13">
        <v>838</v>
      </c>
      <c r="J1429" s="13">
        <v>1031</v>
      </c>
      <c r="K1429" s="14" t="str">
        <f>HYPERLINK("https://www.echobox.com","Echobox Social")</f>
        <v>Echobox Social</v>
      </c>
      <c r="L1429" s="13">
        <v>112413</v>
      </c>
      <c r="M1429" s="13">
        <v>343</v>
      </c>
      <c r="N1429" s="13">
        <v>1440</v>
      </c>
      <c r="O1429" s="18" t="s">
        <v>41</v>
      </c>
      <c r="P1429" s="6">
        <v>42241.708229166667</v>
      </c>
      <c r="Q1429" s="12"/>
      <c r="R1429" s="17" t="s">
        <v>1584</v>
      </c>
      <c r="S1429" s="11" t="s">
        <v>1585</v>
      </c>
      <c r="T1429" s="12"/>
      <c r="U1429" s="10" t="str">
        <f>HYPERLINK("https://pbs.twimg.com/profile_images/789113773697208320/3LvFvi8Q.jpg","View")</f>
        <v>View</v>
      </c>
    </row>
    <row r="1430" spans="1:21" ht="30.6">
      <c r="A1430" s="6">
        <v>43441.390243055561</v>
      </c>
      <c r="B1430" s="7" t="str">
        <f>HYPERLINK("https://twitter.com/CasoAislado_Es","@CasoAislado_Es")</f>
        <v>@CasoAislado_Es</v>
      </c>
      <c r="C1430" s="8" t="s">
        <v>1894</v>
      </c>
      <c r="D1430" s="9" t="s">
        <v>5229</v>
      </c>
      <c r="E1430" s="10" t="str">
        <f>HYPERLINK("https://twitter.com/CasoAislado_Es/status/1070956565929385984","1070956565929385984")</f>
        <v>1070956565929385984</v>
      </c>
      <c r="F1430" s="11" t="s">
        <v>5230</v>
      </c>
      <c r="G1430" s="12"/>
      <c r="H1430" s="12"/>
      <c r="I1430" s="13">
        <v>36</v>
      </c>
      <c r="J1430" s="13">
        <v>58</v>
      </c>
      <c r="K1430" s="14" t="str">
        <f t="shared" ref="K1430:K1431" si="242">HYPERLINK("http://twitter.com","Twitter Web Client")</f>
        <v>Twitter Web Client</v>
      </c>
      <c r="L1430" s="13">
        <v>21475</v>
      </c>
      <c r="M1430" s="13">
        <v>6353</v>
      </c>
      <c r="N1430" s="13">
        <v>153</v>
      </c>
      <c r="O1430" s="15"/>
      <c r="P1430" s="6">
        <v>40257.560439814813</v>
      </c>
      <c r="Q1430" s="16" t="s">
        <v>653</v>
      </c>
      <c r="R1430" s="17" t="s">
        <v>1896</v>
      </c>
      <c r="S1430" s="11" t="s">
        <v>1897</v>
      </c>
      <c r="T1430" s="12"/>
      <c r="U1430" s="10" t="str">
        <f>HYPERLINK("https://pbs.twimg.com/profile_images/818503412702707713/QK1J8CEn.jpg","View")</f>
        <v>View</v>
      </c>
    </row>
    <row r="1431" spans="1:21" ht="40.799999999999997">
      <c r="A1431" s="6">
        <v>43441.389363425929</v>
      </c>
      <c r="B1431" s="7" t="str">
        <f>HYPERLINK("https://twitter.com/raimundoabando","@raimundoabando")</f>
        <v>@raimundoabando</v>
      </c>
      <c r="C1431" s="8" t="s">
        <v>5231</v>
      </c>
      <c r="D1431" s="9" t="s">
        <v>3317</v>
      </c>
      <c r="E1431" s="10" t="str">
        <f>HYPERLINK("https://twitter.com/raimundoabando/status/1070956245660643328","1070956245660643328")</f>
        <v>1070956245660643328</v>
      </c>
      <c r="F1431" s="11" t="s">
        <v>5232</v>
      </c>
      <c r="G1431" s="12"/>
      <c r="H1431" s="12"/>
      <c r="I1431" s="13">
        <v>0</v>
      </c>
      <c r="J1431" s="13">
        <v>0</v>
      </c>
      <c r="K1431" s="14" t="str">
        <f t="shared" si="242"/>
        <v>Twitter Web Client</v>
      </c>
      <c r="L1431" s="13">
        <v>1359</v>
      </c>
      <c r="M1431" s="13">
        <v>1299</v>
      </c>
      <c r="N1431" s="13">
        <v>19</v>
      </c>
      <c r="O1431" s="15"/>
      <c r="P1431" s="6">
        <v>41326.976608796293</v>
      </c>
      <c r="Q1431" s="16" t="s">
        <v>5233</v>
      </c>
      <c r="R1431" s="17" t="s">
        <v>5234</v>
      </c>
      <c r="S1431" s="12"/>
      <c r="T1431" s="12"/>
      <c r="U1431" s="10" t="str">
        <f>HYPERLINK("https://pbs.twimg.com/profile_images/3288944238/407f28a0605cef8d6b78333c770a91e3.jpeg","View")</f>
        <v>View</v>
      </c>
    </row>
    <row r="1432" spans="1:21" ht="20.399999999999999">
      <c r="A1432" s="6">
        <v>43441.388668981483</v>
      </c>
      <c r="B1432" s="7" t="str">
        <f>HYPERLINK("https://twitter.com/TeresaGS26","@TeresaGS26")</f>
        <v>@TeresaGS26</v>
      </c>
      <c r="C1432" s="8" t="s">
        <v>5097</v>
      </c>
      <c r="D1432" s="9" t="s">
        <v>5235</v>
      </c>
      <c r="E1432" s="10" t="str">
        <f>HYPERLINK("https://twitter.com/TeresaGS26/status/1070955997802520576","1070955997802520576")</f>
        <v>1070955997802520576</v>
      </c>
      <c r="F1432" s="11" t="s">
        <v>5236</v>
      </c>
      <c r="G1432" s="12"/>
      <c r="H1432" s="12"/>
      <c r="I1432" s="13">
        <v>0</v>
      </c>
      <c r="J1432" s="13">
        <v>0</v>
      </c>
      <c r="K1432" s="14" t="str">
        <f>HYPERLINK("http://twitter.com/download/iphone","Twitter for iPhone")</f>
        <v>Twitter for iPhone</v>
      </c>
      <c r="L1432" s="13">
        <v>843</v>
      </c>
      <c r="M1432" s="13">
        <v>1019</v>
      </c>
      <c r="N1432" s="13">
        <v>17</v>
      </c>
      <c r="O1432" s="15"/>
      <c r="P1432" s="6">
        <v>42241.614548611113</v>
      </c>
      <c r="Q1432" s="12"/>
      <c r="R1432" s="17" t="s">
        <v>5100</v>
      </c>
      <c r="S1432" s="12"/>
      <c r="T1432" s="12"/>
      <c r="U1432" s="10" t="str">
        <f>HYPERLINK("https://pbs.twimg.com/profile_images/636159808249446400/2J9thX4B.jpg","View")</f>
        <v>View</v>
      </c>
    </row>
    <row r="1433" spans="1:21" ht="30.6">
      <c r="A1433" s="6">
        <v>43441.387800925921</v>
      </c>
      <c r="B1433" s="7" t="str">
        <f>HYPERLINK("https://twitter.com/Mariadetabarnia","@Mariadetabarnia")</f>
        <v>@Mariadetabarnia</v>
      </c>
      <c r="C1433" s="8" t="s">
        <v>2012</v>
      </c>
      <c r="D1433" s="9" t="s">
        <v>2269</v>
      </c>
      <c r="E1433" s="10" t="str">
        <f>HYPERLINK("https://twitter.com/Mariadetabarnia/status/1070955681312894977","1070955681312894977")</f>
        <v>1070955681312894977</v>
      </c>
      <c r="F1433" s="11" t="s">
        <v>2270</v>
      </c>
      <c r="G1433" s="12"/>
      <c r="H1433" s="12"/>
      <c r="I1433" s="13">
        <v>0</v>
      </c>
      <c r="J1433" s="13">
        <v>0</v>
      </c>
      <c r="K1433" s="14" t="str">
        <f>HYPERLINK("http://twitter.com/download/android","Twitter for Android")</f>
        <v>Twitter for Android</v>
      </c>
      <c r="L1433" s="13">
        <v>168</v>
      </c>
      <c r="M1433" s="13">
        <v>22</v>
      </c>
      <c r="N1433" s="13">
        <v>0</v>
      </c>
      <c r="O1433" s="15"/>
      <c r="P1433" s="6">
        <v>40439.982129629629</v>
      </c>
      <c r="Q1433" s="12"/>
      <c r="R1433" s="17" t="s">
        <v>2013</v>
      </c>
      <c r="S1433" s="12"/>
      <c r="T1433" s="12"/>
      <c r="U1433" s="10" t="str">
        <f>HYPERLINK("https://pbs.twimg.com/profile_images/1029418929091997701/X8joQICH.jpg","View")</f>
        <v>View</v>
      </c>
    </row>
    <row r="1434" spans="1:21" ht="20.399999999999999">
      <c r="A1434" s="6">
        <v>43441.387395833328</v>
      </c>
      <c r="B1434" s="7" t="str">
        <f>HYPERLINK("https://twitter.com/PabloCasaisCob","@PabloCasaisCob")</f>
        <v>@PabloCasaisCob</v>
      </c>
      <c r="C1434" s="8" t="s">
        <v>5237</v>
      </c>
      <c r="D1434" s="9" t="s">
        <v>5018</v>
      </c>
      <c r="E1434" s="10" t="str">
        <f>HYPERLINK("https://twitter.com/PabloCasaisCob/status/1070955535527235584","1070955535527235584")</f>
        <v>1070955535527235584</v>
      </c>
      <c r="F1434" s="11" t="s">
        <v>115</v>
      </c>
      <c r="G1434" s="12"/>
      <c r="H1434" s="12"/>
      <c r="I1434" s="13">
        <v>0</v>
      </c>
      <c r="J1434" s="13">
        <v>0</v>
      </c>
      <c r="K1434" s="14" t="str">
        <f t="shared" ref="K1434:K1435" si="243">HYPERLINK("http://twitter.com","Twitter Web Client")</f>
        <v>Twitter Web Client</v>
      </c>
      <c r="L1434" s="13">
        <v>141</v>
      </c>
      <c r="M1434" s="13">
        <v>295</v>
      </c>
      <c r="N1434" s="13">
        <v>0</v>
      </c>
      <c r="O1434" s="15"/>
      <c r="P1434" s="6">
        <v>40884.907268518517</v>
      </c>
      <c r="Q1434" s="16" t="s">
        <v>5238</v>
      </c>
      <c r="R1434" s="19"/>
      <c r="S1434" s="12"/>
      <c r="T1434" s="12"/>
      <c r="U1434" s="10" t="str">
        <f>HYPERLINK("https://pbs.twimg.com/profile_images/1679652498/6.jpg","View")</f>
        <v>View</v>
      </c>
    </row>
    <row r="1435" spans="1:21" ht="40.799999999999997">
      <c r="A1435" s="6">
        <v>43441.385949074072</v>
      </c>
      <c r="B1435" s="7" t="str">
        <f>HYPERLINK("https://twitter.com/RafaelSolsOrtiz","@RafaelSolsOrtiz")</f>
        <v>@RafaelSolsOrtiz</v>
      </c>
      <c r="C1435" s="8" t="s">
        <v>5239</v>
      </c>
      <c r="D1435" s="9" t="s">
        <v>5240</v>
      </c>
      <c r="E1435" s="10" t="str">
        <f>HYPERLINK("https://twitter.com/RafaelSolsOrtiz/status/1070955009016238081","1070955009016238081")</f>
        <v>1070955009016238081</v>
      </c>
      <c r="F1435" s="11" t="s">
        <v>5241</v>
      </c>
      <c r="G1435" s="12"/>
      <c r="H1435" s="12"/>
      <c r="I1435" s="13">
        <v>2</v>
      </c>
      <c r="J1435" s="13">
        <v>0</v>
      </c>
      <c r="K1435" s="14" t="str">
        <f t="shared" si="243"/>
        <v>Twitter Web Client</v>
      </c>
      <c r="L1435" s="13">
        <v>1528</v>
      </c>
      <c r="M1435" s="13">
        <v>1106</v>
      </c>
      <c r="N1435" s="13">
        <v>13</v>
      </c>
      <c r="O1435" s="15"/>
      <c r="P1435" s="6">
        <v>41074.425335648149</v>
      </c>
      <c r="Q1435" s="16" t="s">
        <v>1150</v>
      </c>
      <c r="R1435" s="17" t="s">
        <v>5242</v>
      </c>
      <c r="S1435" s="11" t="s">
        <v>5243</v>
      </c>
      <c r="T1435" s="12"/>
      <c r="U1435" s="10" t="str">
        <f>HYPERLINK("https://pbs.twimg.com/profile_images/755389664152911872/3h2Im1EJ.jpg","View")</f>
        <v>View</v>
      </c>
    </row>
    <row r="1436" spans="1:21" ht="51">
      <c r="A1436" s="6">
        <v>43441.38590277778</v>
      </c>
      <c r="B1436" s="7" t="str">
        <f>HYPERLINK("https://twitter.com/La_Maritrini","@La_Maritrini")</f>
        <v>@La_Maritrini</v>
      </c>
      <c r="C1436" s="8" t="s">
        <v>5244</v>
      </c>
      <c r="D1436" s="9" t="s">
        <v>5245</v>
      </c>
      <c r="E1436" s="10" t="str">
        <f>HYPERLINK("https://twitter.com/La_Maritrini/status/1070954994180997121","1070954994180997121")</f>
        <v>1070954994180997121</v>
      </c>
      <c r="F1436" s="12"/>
      <c r="G1436" s="12"/>
      <c r="H1436" s="12"/>
      <c r="I1436" s="13">
        <v>5</v>
      </c>
      <c r="J1436" s="13">
        <v>5</v>
      </c>
      <c r="K1436" s="14" t="str">
        <f>HYPERLINK("http://twitter.com/download/iphone","Twitter for iPhone")</f>
        <v>Twitter for iPhone</v>
      </c>
      <c r="L1436" s="13">
        <v>3814</v>
      </c>
      <c r="M1436" s="13">
        <v>396</v>
      </c>
      <c r="N1436" s="13">
        <v>85</v>
      </c>
      <c r="O1436" s="15"/>
      <c r="P1436" s="6">
        <v>40638.954074074078</v>
      </c>
      <c r="Q1436" s="12"/>
      <c r="R1436" s="17" t="s">
        <v>5246</v>
      </c>
      <c r="S1436" s="12"/>
      <c r="T1436" s="12"/>
      <c r="U1436" s="10" t="str">
        <f>HYPERLINK("https://pbs.twimg.com/profile_images/926090195740581888/1iBX0Ihg.jpg","View")</f>
        <v>View</v>
      </c>
    </row>
    <row r="1437" spans="1:21" ht="40.799999999999997">
      <c r="A1437" s="6">
        <v>43441.385335648149</v>
      </c>
      <c r="B1437" s="7" t="str">
        <f>HYPERLINK("https://twitter.com/CDCovarrubias","@CDCovarrubias")</f>
        <v>@CDCovarrubias</v>
      </c>
      <c r="C1437" s="8" t="s">
        <v>5247</v>
      </c>
      <c r="D1437" s="9" t="s">
        <v>5248</v>
      </c>
      <c r="E1437" s="10" t="str">
        <f>HYPERLINK("https://twitter.com/CDCovarrubias/status/1070954786894303232","1070954786894303232")</f>
        <v>1070954786894303232</v>
      </c>
      <c r="F1437" s="11" t="s">
        <v>115</v>
      </c>
      <c r="G1437" s="12"/>
      <c r="H1437" s="12"/>
      <c r="I1437" s="13">
        <v>2</v>
      </c>
      <c r="J1437" s="13">
        <v>1</v>
      </c>
      <c r="K1437" s="14" t="str">
        <f>HYPERLINK("https://www.hootsuite.com","Hootsuite Inc.")</f>
        <v>Hootsuite Inc.</v>
      </c>
      <c r="L1437" s="13">
        <v>1334</v>
      </c>
      <c r="M1437" s="13">
        <v>1212</v>
      </c>
      <c r="N1437" s="13">
        <v>26</v>
      </c>
      <c r="O1437" s="15"/>
      <c r="P1437" s="6">
        <v>41632.549328703702</v>
      </c>
      <c r="Q1437" s="16" t="s">
        <v>1408</v>
      </c>
      <c r="R1437" s="17" t="s">
        <v>5249</v>
      </c>
      <c r="S1437" s="11" t="s">
        <v>5250</v>
      </c>
      <c r="T1437" s="12"/>
      <c r="U1437" s="10" t="str">
        <f>HYPERLINK("https://pbs.twimg.com/profile_images/508255575562403843/rii-DMcj.jpeg","View")</f>
        <v>View</v>
      </c>
    </row>
    <row r="1438" spans="1:21" ht="20.399999999999999">
      <c r="A1438" s="6">
        <v>43441.385289351849</v>
      </c>
      <c r="B1438" s="7" t="str">
        <f>HYPERLINK("https://twitter.com/idpajares1974","@idpajares1974")</f>
        <v>@idpajares1974</v>
      </c>
      <c r="C1438" s="8" t="s">
        <v>5251</v>
      </c>
      <c r="D1438" s="9" t="s">
        <v>5252</v>
      </c>
      <c r="E1438" s="10" t="str">
        <f>HYPERLINK("https://twitter.com/idpajares1974/status/1070954770658152448","1070954770658152448")</f>
        <v>1070954770658152448</v>
      </c>
      <c r="F1438" s="11" t="s">
        <v>5253</v>
      </c>
      <c r="G1438" s="12"/>
      <c r="H1438" s="12"/>
      <c r="I1438" s="13">
        <v>0</v>
      </c>
      <c r="J1438" s="13">
        <v>0</v>
      </c>
      <c r="K1438" s="14" t="str">
        <f t="shared" ref="K1438:K1439" si="244">HYPERLINK("http://twitter.com","Twitter Web Client")</f>
        <v>Twitter Web Client</v>
      </c>
      <c r="L1438" s="13">
        <v>178</v>
      </c>
      <c r="M1438" s="13">
        <v>406</v>
      </c>
      <c r="N1438" s="13">
        <v>8</v>
      </c>
      <c r="O1438" s="15"/>
      <c r="P1438" s="6">
        <v>40623.486261574071</v>
      </c>
      <c r="Q1438" s="16" t="s">
        <v>60</v>
      </c>
      <c r="R1438" s="17" t="s">
        <v>5254</v>
      </c>
      <c r="S1438" s="12"/>
      <c r="T1438" s="12"/>
      <c r="U1438" s="10" t="str">
        <f>HYPERLINK("https://pbs.twimg.com/profile_images/1069169554788622336/2K2S2m-H.jpg","View")</f>
        <v>View</v>
      </c>
    </row>
    <row r="1439" spans="1:21" ht="30.6">
      <c r="A1439" s="6">
        <v>43441.385057870371</v>
      </c>
      <c r="B1439" s="7" t="str">
        <f>HYPERLINK("https://twitter.com/JosepMCalaf","@JosepMCalaf")</f>
        <v>@JosepMCalaf</v>
      </c>
      <c r="C1439" s="8" t="s">
        <v>5073</v>
      </c>
      <c r="D1439" s="9" t="s">
        <v>2269</v>
      </c>
      <c r="E1439" s="10" t="str">
        <f>HYPERLINK("https://twitter.com/JosepMCalaf/status/1070954685392191488","1070954685392191488")</f>
        <v>1070954685392191488</v>
      </c>
      <c r="F1439" s="11" t="s">
        <v>2270</v>
      </c>
      <c r="G1439" s="12"/>
      <c r="H1439" s="12"/>
      <c r="I1439" s="13">
        <v>0</v>
      </c>
      <c r="J1439" s="13">
        <v>0</v>
      </c>
      <c r="K1439" s="14" t="str">
        <f t="shared" si="244"/>
        <v>Twitter Web Client</v>
      </c>
      <c r="L1439" s="13">
        <v>2020</v>
      </c>
      <c r="M1439" s="13">
        <v>4911</v>
      </c>
      <c r="N1439" s="13">
        <v>87</v>
      </c>
      <c r="O1439" s="15"/>
      <c r="P1439" s="6">
        <v>40496.37226851852</v>
      </c>
      <c r="Q1439" s="16" t="s">
        <v>1249</v>
      </c>
      <c r="R1439" s="19"/>
      <c r="S1439" s="12"/>
      <c r="T1439" s="12"/>
      <c r="U1439" s="10" t="str">
        <f>HYPERLINK("https://pbs.twimg.com/profile_images/1231807509/26082010025.jpg","View")</f>
        <v>View</v>
      </c>
    </row>
    <row r="1440" spans="1:21" ht="40.799999999999997">
      <c r="A1440" s="6">
        <v>43441.384606481486</v>
      </c>
      <c r="B1440" s="7" t="str">
        <f>HYPERLINK("https://twitter.com/meugeniaeyras","@meugeniaeyras")</f>
        <v>@meugeniaeyras</v>
      </c>
      <c r="C1440" s="8" t="s">
        <v>5255</v>
      </c>
      <c r="D1440" s="9" t="s">
        <v>5256</v>
      </c>
      <c r="E1440" s="10" t="str">
        <f>HYPERLINK("https://twitter.com/meugeniaeyras/status/1070954524179869696","1070954524179869696")</f>
        <v>1070954524179869696</v>
      </c>
      <c r="F1440" s="11" t="s">
        <v>5257</v>
      </c>
      <c r="G1440" s="12"/>
      <c r="H1440" s="12"/>
      <c r="I1440" s="13">
        <v>0</v>
      </c>
      <c r="J1440" s="13">
        <v>0</v>
      </c>
      <c r="K1440" s="14" t="str">
        <f>HYPERLINK("http://www.facebook.com/twitter","Facebook")</f>
        <v>Facebook</v>
      </c>
      <c r="L1440" s="13">
        <v>66</v>
      </c>
      <c r="M1440" s="13">
        <v>141</v>
      </c>
      <c r="N1440" s="13">
        <v>7</v>
      </c>
      <c r="O1440" s="15"/>
      <c r="P1440" s="6">
        <v>39896.468159722222</v>
      </c>
      <c r="Q1440" s="16" t="s">
        <v>2779</v>
      </c>
      <c r="R1440" s="17" t="s">
        <v>5258</v>
      </c>
      <c r="S1440" s="11" t="s">
        <v>5259</v>
      </c>
      <c r="T1440" s="12"/>
      <c r="U1440" s="10" t="str">
        <f>HYPERLINK("https://pbs.twimg.com/profile_images/1306553584/Toledo_2005.jpg","View")</f>
        <v>View</v>
      </c>
    </row>
    <row r="1441" spans="1:21" ht="40.799999999999997">
      <c r="A1441" s="6">
        <v>43441.384525462963</v>
      </c>
      <c r="B1441" s="7" t="str">
        <f>HYPERLINK("https://twitter.com/brubeaker","@brubeaker")</f>
        <v>@brubeaker</v>
      </c>
      <c r="C1441" s="8" t="s">
        <v>4939</v>
      </c>
      <c r="D1441" s="9" t="s">
        <v>5260</v>
      </c>
      <c r="E1441" s="10" t="str">
        <f>HYPERLINK("https://twitter.com/brubeaker/status/1070954493607596032","1070954493607596032")</f>
        <v>1070954493607596032</v>
      </c>
      <c r="F1441" s="12"/>
      <c r="G1441" s="12"/>
      <c r="H1441" s="12"/>
      <c r="I1441" s="13">
        <v>0</v>
      </c>
      <c r="J1441" s="13">
        <v>0</v>
      </c>
      <c r="K1441" s="14" t="str">
        <f>HYPERLINK("http://twitter.com","Twitter Web Client")</f>
        <v>Twitter Web Client</v>
      </c>
      <c r="L1441" s="13">
        <v>38</v>
      </c>
      <c r="M1441" s="13">
        <v>164</v>
      </c>
      <c r="N1441" s="13">
        <v>2</v>
      </c>
      <c r="O1441" s="15"/>
      <c r="P1441" s="6">
        <v>41780.336550925924</v>
      </c>
      <c r="Q1441" s="12"/>
      <c r="R1441" s="17" t="s">
        <v>4941</v>
      </c>
      <c r="S1441" s="12"/>
      <c r="T1441" s="12"/>
      <c r="U1441" s="10" t="str">
        <f>HYPERLINK("https://pbs.twimg.com/profile_images/1036025081179332608/VWYH9QdS.jpg","View")</f>
        <v>View</v>
      </c>
    </row>
    <row r="1442" spans="1:21" ht="51">
      <c r="A1442" s="6">
        <v>43441.382962962962</v>
      </c>
      <c r="B1442" s="7" t="str">
        <f>HYPERLINK("https://twitter.com/pacoluisj","@pacoluisj")</f>
        <v>@pacoluisj</v>
      </c>
      <c r="C1442" s="8" t="s">
        <v>5261</v>
      </c>
      <c r="D1442" s="9" t="s">
        <v>5262</v>
      </c>
      <c r="E1442" s="10" t="str">
        <f>HYPERLINK("https://twitter.com/pacoluisj/status/1070953926525140994","1070953926525140994")</f>
        <v>1070953926525140994</v>
      </c>
      <c r="F1442" s="11" t="s">
        <v>5263</v>
      </c>
      <c r="G1442" s="12"/>
      <c r="H1442" s="12"/>
      <c r="I1442" s="13">
        <v>0</v>
      </c>
      <c r="J1442" s="13">
        <v>2</v>
      </c>
      <c r="K1442" s="14" t="str">
        <f>HYPERLINK("http://twitter.com/download/android","Twitter for Android")</f>
        <v>Twitter for Android</v>
      </c>
      <c r="L1442" s="13">
        <v>5128</v>
      </c>
      <c r="M1442" s="13">
        <v>5193</v>
      </c>
      <c r="N1442" s="13">
        <v>33</v>
      </c>
      <c r="O1442" s="15"/>
      <c r="P1442" s="6">
        <v>40259.792893518519</v>
      </c>
      <c r="Q1442" s="16" t="s">
        <v>60</v>
      </c>
      <c r="R1442" s="17" t="s">
        <v>5264</v>
      </c>
      <c r="S1442" s="12"/>
      <c r="T1442" s="12"/>
      <c r="U1442" s="10" t="str">
        <f>HYPERLINK("https://pbs.twimg.com/profile_images/978195787904634880/xKXdKqVW.jpg","View")</f>
        <v>View</v>
      </c>
    </row>
    <row r="1443" spans="1:21" ht="40.799999999999997">
      <c r="A1443" s="6">
        <v>43441.382222222222</v>
      </c>
      <c r="B1443" s="7" t="str">
        <f>HYPERLINK("https://twitter.com/lluruap1","@lluruap1")</f>
        <v>@lluruap1</v>
      </c>
      <c r="C1443" s="8" t="s">
        <v>5265</v>
      </c>
      <c r="D1443" s="9" t="s">
        <v>5266</v>
      </c>
      <c r="E1443" s="10" t="str">
        <f>HYPERLINK("https://twitter.com/lluruap1/status/1070953661474455553","1070953661474455553")</f>
        <v>1070953661474455553</v>
      </c>
      <c r="F1443" s="12"/>
      <c r="G1443" s="12"/>
      <c r="H1443" s="12"/>
      <c r="I1443" s="13">
        <v>24</v>
      </c>
      <c r="J1443" s="13">
        <v>30</v>
      </c>
      <c r="K1443" s="14" t="str">
        <f>HYPERLINK("http://twitter.com/download/iphone","Twitter for iPhone")</f>
        <v>Twitter for iPhone</v>
      </c>
      <c r="L1443" s="13">
        <v>28</v>
      </c>
      <c r="M1443" s="13">
        <v>229</v>
      </c>
      <c r="N1443" s="13">
        <v>0</v>
      </c>
      <c r="O1443" s="15"/>
      <c r="P1443" s="6">
        <v>42820.762094907404</v>
      </c>
      <c r="Q1443" s="12"/>
      <c r="R1443" s="17" t="s">
        <v>5267</v>
      </c>
      <c r="S1443" s="12"/>
      <c r="T1443" s="12"/>
      <c r="U1443" s="10" t="str">
        <f>HYPERLINK("https://pbs.twimg.com/profile_images/1041295605107187713/1pNOsUgY.jpg","View")</f>
        <v>View</v>
      </c>
    </row>
    <row r="1444" spans="1:21" ht="30.6">
      <c r="A1444" s="6">
        <v>43441.382118055553</v>
      </c>
      <c r="B1444" s="7" t="str">
        <f>HYPERLINK("https://twitter.com/bergabil94","@bergabil94")</f>
        <v>@bergabil94</v>
      </c>
      <c r="C1444" s="8" t="s">
        <v>5268</v>
      </c>
      <c r="D1444" s="9" t="s">
        <v>2521</v>
      </c>
      <c r="E1444" s="10" t="str">
        <f>HYPERLINK("https://twitter.com/bergabil94/status/1070953622635196416","1070953622635196416")</f>
        <v>1070953622635196416</v>
      </c>
      <c r="F1444" s="11" t="s">
        <v>5269</v>
      </c>
      <c r="G1444" s="12"/>
      <c r="H1444" s="12"/>
      <c r="I1444" s="13">
        <v>0</v>
      </c>
      <c r="J1444" s="13">
        <v>0</v>
      </c>
      <c r="K1444" s="14" t="str">
        <f>HYPERLINK("https://ifttt.com","IFTTT")</f>
        <v>IFTTT</v>
      </c>
      <c r="L1444" s="13">
        <v>63</v>
      </c>
      <c r="M1444" s="13">
        <v>51</v>
      </c>
      <c r="N1444" s="13">
        <v>3</v>
      </c>
      <c r="O1444" s="15"/>
      <c r="P1444" s="6">
        <v>42758.422662037032</v>
      </c>
      <c r="Q1444" s="16" t="s">
        <v>26</v>
      </c>
      <c r="R1444" s="17" t="s">
        <v>5270</v>
      </c>
      <c r="S1444" s="12"/>
      <c r="T1444" s="12"/>
      <c r="U1444" s="10" t="str">
        <f>HYPERLINK("https://pbs.twimg.com/profile_images/823457736675459073/c35uioBB.jpg","View")</f>
        <v>View</v>
      </c>
    </row>
    <row r="1445" spans="1:21" ht="20.399999999999999">
      <c r="A1445" s="6">
        <v>43441.381736111114</v>
      </c>
      <c r="B1445" s="7" t="str">
        <f>HYPERLINK("https://twitter.com/SitgesVox","@SitgesVox")</f>
        <v>@SitgesVox</v>
      </c>
      <c r="C1445" s="8" t="s">
        <v>5271</v>
      </c>
      <c r="D1445" s="9" t="s">
        <v>5272</v>
      </c>
      <c r="E1445" s="10" t="str">
        <f>HYPERLINK("https://twitter.com/SitgesVox/status/1070953482709098497","1070953482709098497")</f>
        <v>1070953482709098497</v>
      </c>
      <c r="F1445" s="11" t="s">
        <v>246</v>
      </c>
      <c r="G1445" s="12"/>
      <c r="H1445" s="12"/>
      <c r="I1445" s="13">
        <v>0</v>
      </c>
      <c r="J1445" s="13">
        <v>0</v>
      </c>
      <c r="K1445" s="14" t="str">
        <f>HYPERLINK("http://twitter.com","Twitter Web Client")</f>
        <v>Twitter Web Client</v>
      </c>
      <c r="L1445" s="13">
        <v>42</v>
      </c>
      <c r="M1445" s="13">
        <v>40</v>
      </c>
      <c r="N1445" s="13">
        <v>0</v>
      </c>
      <c r="O1445" s="15"/>
      <c r="P1445" s="6">
        <v>43423.489166666666</v>
      </c>
      <c r="Q1445" s="12"/>
      <c r="R1445" s="19"/>
      <c r="S1445" s="12"/>
      <c r="T1445" s="12"/>
      <c r="U1445" s="10" t="str">
        <f>HYPERLINK("https://pbs.twimg.com/profile_images/1064473226233954304/SCsr9IDx.jpg","View")</f>
        <v>View</v>
      </c>
    </row>
    <row r="1446" spans="1:21" ht="20.399999999999999">
      <c r="A1446" s="6">
        <v>43441.381643518514</v>
      </c>
      <c r="B1446" s="7" t="str">
        <f>HYPERLINK("https://twitter.com/Ya_Es_Noticia","@Ya_Es_Noticia")</f>
        <v>@Ya_Es_Noticia</v>
      </c>
      <c r="C1446" s="8" t="s">
        <v>3652</v>
      </c>
      <c r="D1446" s="9" t="s">
        <v>3001</v>
      </c>
      <c r="E1446" s="10" t="str">
        <f>HYPERLINK("https://twitter.com/Ya_Es_Noticia/status/1070953449259450368","1070953449259450368")</f>
        <v>1070953449259450368</v>
      </c>
      <c r="F1446" s="11" t="s">
        <v>3688</v>
      </c>
      <c r="G1446" s="11" t="s">
        <v>5273</v>
      </c>
      <c r="H1446" s="12"/>
      <c r="I1446" s="13">
        <v>0</v>
      </c>
      <c r="J1446" s="13">
        <v>0</v>
      </c>
      <c r="K1446" s="14" t="str">
        <f>HYPERLINK("http://epmundo.com","Tuiteo TOP EP (3)")</f>
        <v>Tuiteo TOP EP (3)</v>
      </c>
      <c r="L1446" s="13">
        <v>14203</v>
      </c>
      <c r="M1446" s="13">
        <v>13688</v>
      </c>
      <c r="N1446" s="13">
        <v>70</v>
      </c>
      <c r="O1446" s="15"/>
      <c r="P1446" s="6">
        <v>42103.9455787037</v>
      </c>
      <c r="Q1446" s="12"/>
      <c r="R1446" s="17" t="s">
        <v>3654</v>
      </c>
      <c r="S1446" s="12"/>
      <c r="T1446" s="12"/>
      <c r="U1446" s="10" t="str">
        <f>HYPERLINK("https://pbs.twimg.com/profile_images/913478985295777792/GxT5RrjL.jpg","View")</f>
        <v>View</v>
      </c>
    </row>
    <row r="1447" spans="1:21" ht="51">
      <c r="A1447" s="6">
        <v>43441.381423611107</v>
      </c>
      <c r="B1447" s="7" t="str">
        <f>HYPERLINK("https://twitter.com/babykmana","@babykmana")</f>
        <v>@babykmana</v>
      </c>
      <c r="C1447" s="8" t="s">
        <v>5274</v>
      </c>
      <c r="D1447" s="9" t="s">
        <v>5275</v>
      </c>
      <c r="E1447" s="10" t="str">
        <f>HYPERLINK("https://twitter.com/babykmana/status/1070953368531677184","1070953368531677184")</f>
        <v>1070953368531677184</v>
      </c>
      <c r="F1447" s="11" t="s">
        <v>4888</v>
      </c>
      <c r="G1447" s="11" t="s">
        <v>4889</v>
      </c>
      <c r="H1447" s="12"/>
      <c r="I1447" s="13">
        <v>0</v>
      </c>
      <c r="J1447" s="13">
        <v>0</v>
      </c>
      <c r="K1447" s="14" t="str">
        <f t="shared" ref="K1447:K1448" si="245">HYPERLINK("http://twitter.com/download/iphone","Twitter for iPhone")</f>
        <v>Twitter for iPhone</v>
      </c>
      <c r="L1447" s="13">
        <v>79</v>
      </c>
      <c r="M1447" s="13">
        <v>78</v>
      </c>
      <c r="N1447" s="13">
        <v>0</v>
      </c>
      <c r="O1447" s="15"/>
      <c r="P1447" s="6">
        <v>43204.908599537041</v>
      </c>
      <c r="Q1447" s="16" t="s">
        <v>5276</v>
      </c>
      <c r="R1447" s="17" t="s">
        <v>5277</v>
      </c>
      <c r="S1447" s="12"/>
      <c r="T1447" s="12"/>
      <c r="U1447" s="10" t="str">
        <f>HYPERLINK("https://pbs.twimg.com/profile_images/1034588778181079040/c5hfFw5q.jpg","View")</f>
        <v>View</v>
      </c>
    </row>
    <row r="1448" spans="1:21" ht="51">
      <c r="A1448" s="6">
        <v>43441.381377314814</v>
      </c>
      <c r="B1448" s="7" t="str">
        <f>HYPERLINK("https://twitter.com/_ErnestoBlzquez","@_ErnestoBlzquez")</f>
        <v>@_ErnestoBlzquez</v>
      </c>
      <c r="C1448" s="8" t="s">
        <v>5278</v>
      </c>
      <c r="D1448" s="9" t="s">
        <v>5279</v>
      </c>
      <c r="E1448" s="10" t="str">
        <f>HYPERLINK("https://twitter.com/_ErnestoBlzquez/status/1070953351628627968","1070953351628627968")</f>
        <v>1070953351628627968</v>
      </c>
      <c r="F1448" s="12"/>
      <c r="G1448" s="12"/>
      <c r="H1448" s="12"/>
      <c r="I1448" s="13">
        <v>0</v>
      </c>
      <c r="J1448" s="13">
        <v>0</v>
      </c>
      <c r="K1448" s="14" t="str">
        <f t="shared" si="245"/>
        <v>Twitter for iPhone</v>
      </c>
      <c r="L1448" s="13">
        <v>19</v>
      </c>
      <c r="M1448" s="13">
        <v>108</v>
      </c>
      <c r="N1448" s="13">
        <v>1</v>
      </c>
      <c r="O1448" s="15"/>
      <c r="P1448" s="6">
        <v>43067.905752314815</v>
      </c>
      <c r="Q1448" s="12"/>
      <c r="R1448" s="19"/>
      <c r="S1448" s="12"/>
      <c r="T1448" s="12"/>
      <c r="U1448" s="10" t="str">
        <f>HYPERLINK("https://pbs.twimg.com/profile_images/935623944811540481/rugx4hyQ.jpg","View")</f>
        <v>View</v>
      </c>
    </row>
    <row r="1449" spans="1:21" ht="40.799999999999997">
      <c r="A1449" s="6">
        <v>43441.380185185189</v>
      </c>
      <c r="B1449" s="7" t="str">
        <f>HYPERLINK("https://twitter.com/pasionxespana","@pasionxespana")</f>
        <v>@pasionxespana</v>
      </c>
      <c r="C1449" s="8" t="s">
        <v>5280</v>
      </c>
      <c r="D1449" s="9" t="s">
        <v>5281</v>
      </c>
      <c r="E1449" s="10" t="str">
        <f>HYPERLINK("https://twitter.com/pasionxespana/status/1070952920374501376","1070952920374501376")</f>
        <v>1070952920374501376</v>
      </c>
      <c r="F1449" s="11" t="s">
        <v>3408</v>
      </c>
      <c r="G1449" s="12"/>
      <c r="H1449" s="12"/>
      <c r="I1449" s="13">
        <v>0</v>
      </c>
      <c r="J1449" s="13">
        <v>0</v>
      </c>
      <c r="K1449" s="14" t="str">
        <f>HYPERLINK("https://ifttt.com","IFTTT")</f>
        <v>IFTTT</v>
      </c>
      <c r="L1449" s="13">
        <v>1860</v>
      </c>
      <c r="M1449" s="13">
        <v>3037</v>
      </c>
      <c r="N1449" s="13">
        <v>40</v>
      </c>
      <c r="O1449" s="15"/>
      <c r="P1449" s="6">
        <v>42607.629606481481</v>
      </c>
      <c r="Q1449" s="12"/>
      <c r="R1449" s="17" t="s">
        <v>5282</v>
      </c>
      <c r="S1449" s="11" t="s">
        <v>5283</v>
      </c>
      <c r="T1449" s="12"/>
      <c r="U1449" s="10" t="str">
        <f>HYPERLINK("https://pbs.twimg.com/profile_images/903227976258551808/C6YEfbP_.jpg","View")</f>
        <v>View</v>
      </c>
    </row>
    <row r="1450" spans="1:21" ht="81.599999999999994">
      <c r="A1450" s="6">
        <v>43441.379560185189</v>
      </c>
      <c r="B1450" s="7" t="str">
        <f>HYPERLINK("https://twitter.com/manueladetriana","@manueladetriana")</f>
        <v>@manueladetriana</v>
      </c>
      <c r="C1450" s="8" t="s">
        <v>5284</v>
      </c>
      <c r="D1450" s="9" t="s">
        <v>5285</v>
      </c>
      <c r="E1450" s="10" t="str">
        <f>HYPERLINK("https://twitter.com/manueladetriana/status/1070952693152264192","1070952693152264192")</f>
        <v>1070952693152264192</v>
      </c>
      <c r="F1450" s="11" t="s">
        <v>5286</v>
      </c>
      <c r="G1450" s="11" t="s">
        <v>5287</v>
      </c>
      <c r="H1450" s="12"/>
      <c r="I1450" s="13">
        <v>0</v>
      </c>
      <c r="J1450" s="13">
        <v>0</v>
      </c>
      <c r="K1450" s="14" t="str">
        <f>HYPERLINK("http://twitter.com/download/android","Twitter for Android")</f>
        <v>Twitter for Android</v>
      </c>
      <c r="L1450" s="13">
        <v>1198</v>
      </c>
      <c r="M1450" s="13">
        <v>1155</v>
      </c>
      <c r="N1450" s="13">
        <v>6</v>
      </c>
      <c r="O1450" s="15"/>
      <c r="P1450" s="6">
        <v>41804.751307870371</v>
      </c>
      <c r="Q1450" s="12"/>
      <c r="R1450" s="19"/>
      <c r="S1450" s="12"/>
      <c r="T1450" s="12"/>
      <c r="U1450" s="10" t="str">
        <f>HYPERLINK("https://pbs.twimg.com/profile_images/477848852343422976/q1YqNnL4.jpeg","View")</f>
        <v>View</v>
      </c>
    </row>
    <row r="1451" spans="1:21" ht="40.799999999999997">
      <c r="A1451" s="6">
        <v>43441.379201388889</v>
      </c>
      <c r="B1451" s="7" t="str">
        <f>HYPERLINK("https://twitter.com/APernath","@APernath")</f>
        <v>@APernath</v>
      </c>
      <c r="C1451" s="8" t="s">
        <v>5288</v>
      </c>
      <c r="D1451" s="9" t="s">
        <v>5289</v>
      </c>
      <c r="E1451" s="10" t="str">
        <f>HYPERLINK("https://twitter.com/APernath/status/1070952566635274240","1070952566635274240")</f>
        <v>1070952566635274240</v>
      </c>
      <c r="F1451" s="11" t="s">
        <v>246</v>
      </c>
      <c r="G1451" s="12"/>
      <c r="H1451" s="12"/>
      <c r="I1451" s="13">
        <v>3</v>
      </c>
      <c r="J1451" s="13">
        <v>7</v>
      </c>
      <c r="K1451" s="14" t="str">
        <f>HYPERLINK("http://twitter.com","Twitter Web Client")</f>
        <v>Twitter Web Client</v>
      </c>
      <c r="L1451" s="13">
        <v>1182</v>
      </c>
      <c r="M1451" s="13">
        <v>2820</v>
      </c>
      <c r="N1451" s="13">
        <v>0</v>
      </c>
      <c r="O1451" s="15"/>
      <c r="P1451" s="6">
        <v>41859.445231481484</v>
      </c>
      <c r="Q1451" s="12"/>
      <c r="R1451" s="17" t="s">
        <v>5290</v>
      </c>
      <c r="S1451" s="12"/>
      <c r="T1451" s="12"/>
      <c r="U1451" s="10" t="str">
        <f>HYPERLINK("https://pbs.twimg.com/profile_images/1060496532804374530/VKQ0ARv7.jpg","View")</f>
        <v>View</v>
      </c>
    </row>
    <row r="1452" spans="1:21" ht="20.399999999999999">
      <c r="A1452" s="6">
        <v>43441.378923611112</v>
      </c>
      <c r="B1452" s="7" t="str">
        <f>HYPERLINK("https://twitter.com/JulioGanguita","@JulioGanguita")</f>
        <v>@JulioGanguita</v>
      </c>
      <c r="C1452" s="8" t="s">
        <v>388</v>
      </c>
      <c r="D1452" s="9" t="s">
        <v>5291</v>
      </c>
      <c r="E1452" s="10" t="str">
        <f>HYPERLINK("https://twitter.com/JulioGanguita/status/1070952463459475456","1070952463459475456")</f>
        <v>1070952463459475456</v>
      </c>
      <c r="F1452" s="11" t="s">
        <v>5099</v>
      </c>
      <c r="G1452" s="12"/>
      <c r="H1452" s="12"/>
      <c r="I1452" s="13">
        <v>0</v>
      </c>
      <c r="J1452" s="13">
        <v>0</v>
      </c>
      <c r="K1452" s="14" t="str">
        <f t="shared" ref="K1452:K1453" si="246">HYPERLINK("https://ifttt.com","IFTTT")</f>
        <v>IFTTT</v>
      </c>
      <c r="L1452" s="13">
        <v>957</v>
      </c>
      <c r="M1452" s="13">
        <v>1603</v>
      </c>
      <c r="N1452" s="13">
        <v>3</v>
      </c>
      <c r="O1452" s="15"/>
      <c r="P1452" s="6">
        <v>41982.543564814812</v>
      </c>
      <c r="Q1452" s="16" t="s">
        <v>390</v>
      </c>
      <c r="R1452" s="17" t="s">
        <v>391</v>
      </c>
      <c r="S1452" s="12"/>
      <c r="T1452" s="12"/>
      <c r="U1452" s="10" t="str">
        <f>HYPERLINK("https://pbs.twimg.com/profile_images/859057418386497536/1I406mDG.jpg","View")</f>
        <v>View</v>
      </c>
    </row>
    <row r="1453" spans="1:21" ht="30.6">
      <c r="A1453" s="6">
        <v>43441.378182870365</v>
      </c>
      <c r="B1453" s="7" t="str">
        <f>HYPERLINK("https://twitter.com/bergabil94","@bergabil94")</f>
        <v>@bergabil94</v>
      </c>
      <c r="C1453" s="8" t="s">
        <v>5268</v>
      </c>
      <c r="D1453" s="9" t="s">
        <v>4356</v>
      </c>
      <c r="E1453" s="10" t="str">
        <f>HYPERLINK("https://twitter.com/bergabil94/status/1070952198023065600","1070952198023065600")</f>
        <v>1070952198023065600</v>
      </c>
      <c r="F1453" s="11" t="s">
        <v>5292</v>
      </c>
      <c r="G1453" s="12"/>
      <c r="H1453" s="12"/>
      <c r="I1453" s="13">
        <v>0</v>
      </c>
      <c r="J1453" s="13">
        <v>0</v>
      </c>
      <c r="K1453" s="14" t="str">
        <f t="shared" si="246"/>
        <v>IFTTT</v>
      </c>
      <c r="L1453" s="13">
        <v>63</v>
      </c>
      <c r="M1453" s="13">
        <v>51</v>
      </c>
      <c r="N1453" s="13">
        <v>3</v>
      </c>
      <c r="O1453" s="15"/>
      <c r="P1453" s="6">
        <v>42758.422662037032</v>
      </c>
      <c r="Q1453" s="16" t="s">
        <v>26</v>
      </c>
      <c r="R1453" s="17" t="s">
        <v>5270</v>
      </c>
      <c r="S1453" s="12"/>
      <c r="T1453" s="12"/>
      <c r="U1453" s="10" t="str">
        <f>HYPERLINK("https://pbs.twimg.com/profile_images/823457736675459073/c35uioBB.jpg","View")</f>
        <v>View</v>
      </c>
    </row>
    <row r="1454" spans="1:21" ht="20.399999999999999">
      <c r="A1454" s="6">
        <v>43441.378159722226</v>
      </c>
      <c r="B1454" s="7" t="str">
        <f>HYPERLINK("https://twitter.com/MyriamGac","@MyriamGac")</f>
        <v>@MyriamGac</v>
      </c>
      <c r="C1454" s="8" t="s">
        <v>5293</v>
      </c>
      <c r="D1454" s="9" t="s">
        <v>4459</v>
      </c>
      <c r="E1454" s="10" t="str">
        <f>HYPERLINK("https://twitter.com/MyriamGac/status/1070952186039975942","1070952186039975942")</f>
        <v>1070952186039975942</v>
      </c>
      <c r="F1454" s="11" t="s">
        <v>2089</v>
      </c>
      <c r="G1454" s="12"/>
      <c r="H1454" s="12"/>
      <c r="I1454" s="13">
        <v>0</v>
      </c>
      <c r="J1454" s="13">
        <v>0</v>
      </c>
      <c r="K1454" s="14" t="str">
        <f>HYPERLINK("http://twitter.com","Twitter Web Client")</f>
        <v>Twitter Web Client</v>
      </c>
      <c r="L1454" s="13">
        <v>983</v>
      </c>
      <c r="M1454" s="13">
        <v>1264</v>
      </c>
      <c r="N1454" s="13">
        <v>9</v>
      </c>
      <c r="O1454" s="15"/>
      <c r="P1454" s="6">
        <v>40799.940717592595</v>
      </c>
      <c r="Q1454" s="16" t="s">
        <v>200</v>
      </c>
      <c r="R1454" s="17" t="s">
        <v>5294</v>
      </c>
      <c r="S1454" s="12"/>
      <c r="T1454" s="12"/>
      <c r="U1454" s="10" t="str">
        <f>HYPERLINK("https://pbs.twimg.com/profile_images/378800000108577422/d73d26544ec1fc84fbfba46682dbd32f.jpeg","View")</f>
        <v>View</v>
      </c>
    </row>
    <row r="1455" spans="1:21" ht="40.799999999999997">
      <c r="A1455" s="6">
        <v>43441.37804398148</v>
      </c>
      <c r="B1455" s="7" t="str">
        <f>HYPERLINK("https://twitter.com/misho2411","@misho2411")</f>
        <v>@misho2411</v>
      </c>
      <c r="C1455" s="8" t="s">
        <v>5295</v>
      </c>
      <c r="D1455" s="9" t="s">
        <v>5296</v>
      </c>
      <c r="E1455" s="10" t="str">
        <f>HYPERLINK("https://twitter.com/misho2411/status/1070952145766285312","1070952145766285312")</f>
        <v>1070952145766285312</v>
      </c>
      <c r="F1455" s="11" t="s">
        <v>5297</v>
      </c>
      <c r="G1455" s="12"/>
      <c r="H1455" s="12"/>
      <c r="I1455" s="13">
        <v>0</v>
      </c>
      <c r="J1455" s="13">
        <v>1</v>
      </c>
      <c r="K1455" s="14" t="str">
        <f>HYPERLINK("http://twitter.com/download/android","Twitter for Android")</f>
        <v>Twitter for Android</v>
      </c>
      <c r="L1455" s="13">
        <v>931</v>
      </c>
      <c r="M1455" s="13">
        <v>1215</v>
      </c>
      <c r="N1455" s="13">
        <v>4</v>
      </c>
      <c r="O1455" s="15"/>
      <c r="P1455" s="6">
        <v>41818.804699074077</v>
      </c>
      <c r="Q1455" s="16" t="s">
        <v>5298</v>
      </c>
      <c r="R1455" s="17" t="s">
        <v>5299</v>
      </c>
      <c r="S1455" s="12"/>
      <c r="T1455" s="12"/>
      <c r="U1455" s="10" t="str">
        <f>HYPERLINK("https://pbs.twimg.com/profile_images/613412664706998272/RSPdjP_K.jpg","View")</f>
        <v>View</v>
      </c>
    </row>
    <row r="1456" spans="1:21" ht="40.799999999999997">
      <c r="A1456" s="6">
        <v>43441.377881944441</v>
      </c>
      <c r="B1456" s="7" t="str">
        <f>HYPERLINK("https://twitter.com/ensata","@ensata")</f>
        <v>@ensata</v>
      </c>
      <c r="C1456" s="8" t="s">
        <v>5300</v>
      </c>
      <c r="D1456" s="9" t="s">
        <v>5301</v>
      </c>
      <c r="E1456" s="10" t="str">
        <f>HYPERLINK("https://twitter.com/ensata/status/1070952087620587523","1070952087620587523")</f>
        <v>1070952087620587523</v>
      </c>
      <c r="F1456" s="11" t="s">
        <v>5302</v>
      </c>
      <c r="G1456" s="11" t="s">
        <v>5303</v>
      </c>
      <c r="H1456" s="12"/>
      <c r="I1456" s="13">
        <v>5</v>
      </c>
      <c r="J1456" s="13">
        <v>4</v>
      </c>
      <c r="K1456" s="14" t="str">
        <f>HYPERLINK("http://twitter.com","Twitter Web Client")</f>
        <v>Twitter Web Client</v>
      </c>
      <c r="L1456" s="13">
        <v>14292</v>
      </c>
      <c r="M1456" s="13">
        <v>13334</v>
      </c>
      <c r="N1456" s="13">
        <v>153</v>
      </c>
      <c r="O1456" s="15"/>
      <c r="P1456" s="6">
        <v>39908.488946759258</v>
      </c>
      <c r="Q1456" s="16" t="s">
        <v>5304</v>
      </c>
      <c r="R1456" s="17" t="s">
        <v>5305</v>
      </c>
      <c r="S1456" s="11" t="s">
        <v>5306</v>
      </c>
      <c r="T1456" s="12"/>
      <c r="U1456" s="10" t="str">
        <f>HYPERLINK("https://pbs.twimg.com/profile_images/2791683192/4237c175fd0e3a07d1b5a37bbebf41ab.jpeg","View")</f>
        <v>View</v>
      </c>
    </row>
    <row r="1457" spans="1:21" ht="20.399999999999999">
      <c r="A1457" s="6">
        <v>43441.377662037034</v>
      </c>
      <c r="B1457" s="7" t="str">
        <f>HYPERLINK("https://twitter.com/JulioGanguita","@JulioGanguita")</f>
        <v>@JulioGanguita</v>
      </c>
      <c r="C1457" s="8" t="s">
        <v>388</v>
      </c>
      <c r="D1457" s="9" t="s">
        <v>5291</v>
      </c>
      <c r="E1457" s="10" t="str">
        <f>HYPERLINK("https://twitter.com/JulioGanguita/status/1070952005756170240","1070952005756170240")</f>
        <v>1070952005756170240</v>
      </c>
      <c r="F1457" s="11" t="s">
        <v>5099</v>
      </c>
      <c r="G1457" s="12"/>
      <c r="H1457" s="12"/>
      <c r="I1457" s="13">
        <v>0</v>
      </c>
      <c r="J1457" s="13">
        <v>0</v>
      </c>
      <c r="K1457" s="14" t="str">
        <f t="shared" ref="K1457:K1459" si="247">HYPERLINK("https://ifttt.com","IFTTT")</f>
        <v>IFTTT</v>
      </c>
      <c r="L1457" s="13">
        <v>957</v>
      </c>
      <c r="M1457" s="13">
        <v>1603</v>
      </c>
      <c r="N1457" s="13">
        <v>3</v>
      </c>
      <c r="O1457" s="15"/>
      <c r="P1457" s="6">
        <v>41982.543564814812</v>
      </c>
      <c r="Q1457" s="16" t="s">
        <v>390</v>
      </c>
      <c r="R1457" s="17" t="s">
        <v>391</v>
      </c>
      <c r="S1457" s="12"/>
      <c r="T1457" s="12"/>
      <c r="U1457" s="10" t="str">
        <f>HYPERLINK("https://pbs.twimg.com/profile_images/859057418386497536/1I406mDG.jpg","View")</f>
        <v>View</v>
      </c>
    </row>
    <row r="1458" spans="1:21" ht="40.799999999999997">
      <c r="A1458" s="6">
        <v>43441.376400462963</v>
      </c>
      <c r="B1458" s="7" t="str">
        <f>HYPERLINK("https://twitter.com/Tempus_Wasabi","@Tempus_Wasabi")</f>
        <v>@Tempus_Wasabi</v>
      </c>
      <c r="C1458" s="8" t="s">
        <v>3283</v>
      </c>
      <c r="D1458" s="9" t="s">
        <v>5307</v>
      </c>
      <c r="E1458" s="10" t="str">
        <f>HYPERLINK("https://twitter.com/Tempus_Wasabi/status/1070951547998212096","1070951547998212096")</f>
        <v>1070951547998212096</v>
      </c>
      <c r="F1458" s="11" t="s">
        <v>5308</v>
      </c>
      <c r="G1458" s="12"/>
      <c r="H1458" s="12"/>
      <c r="I1458" s="13">
        <v>0</v>
      </c>
      <c r="J1458" s="13">
        <v>0</v>
      </c>
      <c r="K1458" s="14" t="str">
        <f t="shared" si="247"/>
        <v>IFTTT</v>
      </c>
      <c r="L1458" s="13">
        <v>524</v>
      </c>
      <c r="M1458" s="13">
        <v>1909</v>
      </c>
      <c r="N1458" s="13">
        <v>2</v>
      </c>
      <c r="O1458" s="15"/>
      <c r="P1458" s="6">
        <v>42861.511388888888</v>
      </c>
      <c r="Q1458" s="16" t="s">
        <v>3285</v>
      </c>
      <c r="R1458" s="17" t="s">
        <v>3286</v>
      </c>
      <c r="S1458" s="12"/>
      <c r="T1458" s="12"/>
      <c r="U1458" s="10" t="str">
        <f>HYPERLINK("https://pbs.twimg.com/profile_images/860801881051996162/uysndfmN.jpg","View")</f>
        <v>View</v>
      </c>
    </row>
    <row r="1459" spans="1:21" ht="30.6">
      <c r="A1459" s="6">
        <v>43441.376180555555</v>
      </c>
      <c r="B1459" s="7" t="str">
        <f>HYPERLINK("https://twitter.com/noticia_365","@noticia_365")</f>
        <v>@noticia_365</v>
      </c>
      <c r="C1459" s="8" t="s">
        <v>5309</v>
      </c>
      <c r="D1459" s="9" t="s">
        <v>5310</v>
      </c>
      <c r="E1459" s="10" t="str">
        <f>HYPERLINK("https://twitter.com/noticia_365/status/1070951469770256385","1070951469770256385")</f>
        <v>1070951469770256385</v>
      </c>
      <c r="F1459" s="11" t="s">
        <v>115</v>
      </c>
      <c r="G1459" s="12"/>
      <c r="H1459" s="12"/>
      <c r="I1459" s="13">
        <v>0</v>
      </c>
      <c r="J1459" s="13">
        <v>0</v>
      </c>
      <c r="K1459" s="14" t="str">
        <f t="shared" si="247"/>
        <v>IFTTT</v>
      </c>
      <c r="L1459" s="13">
        <v>984</v>
      </c>
      <c r="M1459" s="13">
        <v>344</v>
      </c>
      <c r="N1459" s="13">
        <v>52</v>
      </c>
      <c r="O1459" s="15"/>
      <c r="P1459" s="6">
        <v>41359.895381944443</v>
      </c>
      <c r="Q1459" s="12"/>
      <c r="R1459" s="17" t="s">
        <v>5311</v>
      </c>
      <c r="S1459" s="12"/>
      <c r="T1459" s="12"/>
      <c r="U1459" s="10" t="str">
        <f>HYPERLINK("https://pbs.twimg.com/profile_images/655743699775680512/OZGbM8mc.png","View")</f>
        <v>View</v>
      </c>
    </row>
    <row r="1460" spans="1:21" ht="30.6">
      <c r="A1460" s="6">
        <v>43441.376157407409</v>
      </c>
      <c r="B1460" s="7" t="str">
        <f>HYPERLINK("https://twitter.com/lavozdealmeria","@lavozdealmeria")</f>
        <v>@lavozdealmeria</v>
      </c>
      <c r="C1460" s="8" t="s">
        <v>5312</v>
      </c>
      <c r="D1460" s="9" t="s">
        <v>5313</v>
      </c>
      <c r="E1460" s="10" t="str">
        <f>HYPERLINK("https://twitter.com/lavozdealmeria/status/1070951461104828421","1070951461104828421")</f>
        <v>1070951461104828421</v>
      </c>
      <c r="F1460" s="11" t="s">
        <v>5314</v>
      </c>
      <c r="G1460" s="12"/>
      <c r="H1460" s="12"/>
      <c r="I1460" s="13">
        <v>0</v>
      </c>
      <c r="J1460" s="13">
        <v>1</v>
      </c>
      <c r="K1460" s="14" t="str">
        <f>HYPERLINK("https://metricool.com","Metricool")</f>
        <v>Metricool</v>
      </c>
      <c r="L1460" s="13">
        <v>65100</v>
      </c>
      <c r="M1460" s="13">
        <v>544</v>
      </c>
      <c r="N1460" s="13">
        <v>454</v>
      </c>
      <c r="O1460" s="15"/>
      <c r="P1460" s="6">
        <v>40601.515011574076</v>
      </c>
      <c r="Q1460" s="16" t="s">
        <v>4565</v>
      </c>
      <c r="R1460" s="17" t="s">
        <v>5315</v>
      </c>
      <c r="S1460" s="11" t="s">
        <v>5316</v>
      </c>
      <c r="T1460" s="12"/>
      <c r="U1460" s="10" t="str">
        <f>HYPERLINK("https://pbs.twimg.com/profile_images/903233600249888773/E7owiIy7.jpg","View")</f>
        <v>View</v>
      </c>
    </row>
    <row r="1461" spans="1:21" ht="30.6">
      <c r="A1461" s="6">
        <v>43441.375625000001</v>
      </c>
      <c r="B1461" s="7" t="str">
        <f>HYPERLINK("https://twitter.com/Buhoneroerrante","@Buhoneroerrante")</f>
        <v>@Buhoneroerrante</v>
      </c>
      <c r="C1461" s="8" t="s">
        <v>1072</v>
      </c>
      <c r="D1461" s="9" t="s">
        <v>5317</v>
      </c>
      <c r="E1461" s="10" t="str">
        <f>HYPERLINK("https://twitter.com/Buhoneroerrante/status/1070951267583823872","1070951267583823872")</f>
        <v>1070951267583823872</v>
      </c>
      <c r="F1461" s="11" t="s">
        <v>5318</v>
      </c>
      <c r="G1461" s="12"/>
      <c r="H1461" s="12"/>
      <c r="I1461" s="13">
        <v>0</v>
      </c>
      <c r="J1461" s="13">
        <v>0</v>
      </c>
      <c r="K1461" s="14" t="str">
        <f>HYPERLINK("http://twitter.com/download/android","Twitter for Android")</f>
        <v>Twitter for Android</v>
      </c>
      <c r="L1461" s="13">
        <v>3090</v>
      </c>
      <c r="M1461" s="13">
        <v>2892</v>
      </c>
      <c r="N1461" s="13">
        <v>10</v>
      </c>
      <c r="O1461" s="15"/>
      <c r="P1461" s="6">
        <v>41745.933912037035</v>
      </c>
      <c r="Q1461" s="16" t="s">
        <v>1075</v>
      </c>
      <c r="R1461" s="17" t="s">
        <v>1076</v>
      </c>
      <c r="S1461" s="11" t="s">
        <v>1077</v>
      </c>
      <c r="T1461" s="12"/>
      <c r="U1461" s="10" t="str">
        <f>HYPERLINK("https://pbs.twimg.com/profile_images/957185190157221889/I4RlaxyE.jpg","View")</f>
        <v>View</v>
      </c>
    </row>
    <row r="1462" spans="1:21" ht="30.6">
      <c r="A1462" s="6">
        <v>43441.375069444446</v>
      </c>
      <c r="B1462" s="7" t="str">
        <f>HYPERLINK("https://twitter.com/triplef31","@triplef31")</f>
        <v>@triplef31</v>
      </c>
      <c r="C1462" s="8" t="s">
        <v>5319</v>
      </c>
      <c r="D1462" s="9" t="s">
        <v>5320</v>
      </c>
      <c r="E1462" s="10" t="str">
        <f>HYPERLINK("https://twitter.com/triplef31/status/1070951068702531585","1070951068702531585")</f>
        <v>1070951068702531585</v>
      </c>
      <c r="F1462" s="11" t="s">
        <v>3561</v>
      </c>
      <c r="G1462" s="12"/>
      <c r="H1462" s="12"/>
      <c r="I1462" s="13">
        <v>0</v>
      </c>
      <c r="J1462" s="13">
        <v>0</v>
      </c>
      <c r="K1462" s="14" t="str">
        <f t="shared" ref="K1462:K1463" si="248">HYPERLINK("http://twitter.com","Twitter Web Client")</f>
        <v>Twitter Web Client</v>
      </c>
      <c r="L1462" s="13">
        <v>59</v>
      </c>
      <c r="M1462" s="13">
        <v>290</v>
      </c>
      <c r="N1462" s="13">
        <v>13</v>
      </c>
      <c r="O1462" s="15"/>
      <c r="P1462" s="6">
        <v>41790.687430555554</v>
      </c>
      <c r="Q1462" s="16" t="s">
        <v>1249</v>
      </c>
      <c r="R1462" s="17" t="s">
        <v>5321</v>
      </c>
      <c r="S1462" s="12"/>
      <c r="T1462" s="12"/>
      <c r="U1462" s="10" t="str">
        <f>HYPERLINK("https://pbs.twimg.com/profile_images/472748824146870272/SpSXML1o.jpeg","View")</f>
        <v>View</v>
      </c>
    </row>
    <row r="1463" spans="1:21" ht="40.799999999999997">
      <c r="A1463" s="6">
        <v>43441.374143518522</v>
      </c>
      <c r="B1463" s="7" t="str">
        <f>HYPERLINK("https://twitter.com/brubeaker","@brubeaker")</f>
        <v>@brubeaker</v>
      </c>
      <c r="C1463" s="8" t="s">
        <v>4939</v>
      </c>
      <c r="D1463" s="9" t="s">
        <v>5322</v>
      </c>
      <c r="E1463" s="10" t="str">
        <f>HYPERLINK("https://twitter.com/brubeaker/status/1070950731937660928","1070950731937660928")</f>
        <v>1070950731937660928</v>
      </c>
      <c r="F1463" s="12"/>
      <c r="G1463" s="12"/>
      <c r="H1463" s="12"/>
      <c r="I1463" s="13">
        <v>0</v>
      </c>
      <c r="J1463" s="13">
        <v>0</v>
      </c>
      <c r="K1463" s="14" t="str">
        <f t="shared" si="248"/>
        <v>Twitter Web Client</v>
      </c>
      <c r="L1463" s="13">
        <v>38</v>
      </c>
      <c r="M1463" s="13">
        <v>164</v>
      </c>
      <c r="N1463" s="13">
        <v>2</v>
      </c>
      <c r="O1463" s="15"/>
      <c r="P1463" s="6">
        <v>41780.336550925924</v>
      </c>
      <c r="Q1463" s="12"/>
      <c r="R1463" s="17" t="s">
        <v>4941</v>
      </c>
      <c r="S1463" s="12"/>
      <c r="T1463" s="12"/>
      <c r="U1463" s="10" t="str">
        <f>HYPERLINK("https://pbs.twimg.com/profile_images/1036025081179332608/VWYH9QdS.jpg","View")</f>
        <v>View</v>
      </c>
    </row>
    <row r="1464" spans="1:21" ht="20.399999999999999">
      <c r="A1464" s="6">
        <v>43441.373726851853</v>
      </c>
      <c r="B1464" s="7" t="str">
        <f>HYPERLINK("https://twitter.com/georgeorwell67","@georgeorwell67")</f>
        <v>@georgeorwell67</v>
      </c>
      <c r="C1464" s="8" t="s">
        <v>5323</v>
      </c>
      <c r="D1464" s="9" t="s">
        <v>2742</v>
      </c>
      <c r="E1464" s="10" t="str">
        <f>HYPERLINK("https://twitter.com/georgeorwell67/status/1070950581190180865","1070950581190180865")</f>
        <v>1070950581190180865</v>
      </c>
      <c r="F1464" s="11" t="s">
        <v>5324</v>
      </c>
      <c r="G1464" s="12"/>
      <c r="H1464" s="12"/>
      <c r="I1464" s="13">
        <v>1</v>
      </c>
      <c r="J1464" s="13">
        <v>1</v>
      </c>
      <c r="K1464" s="14" t="str">
        <f>HYPERLINK("https://ifttt.com","IFTTT")</f>
        <v>IFTTT</v>
      </c>
      <c r="L1464" s="13">
        <v>444</v>
      </c>
      <c r="M1464" s="13">
        <v>549</v>
      </c>
      <c r="N1464" s="13">
        <v>3</v>
      </c>
      <c r="O1464" s="15"/>
      <c r="P1464" s="6">
        <v>43016.365393518514</v>
      </c>
      <c r="Q1464" s="12"/>
      <c r="R1464" s="17" t="s">
        <v>5325</v>
      </c>
      <c r="S1464" s="11" t="s">
        <v>5326</v>
      </c>
      <c r="T1464" s="12"/>
      <c r="U1464" s="10" t="str">
        <f>HYPERLINK("https://pbs.twimg.com/profile_images/916919096771571712/VCjSBSiy.jpg","View")</f>
        <v>View</v>
      </c>
    </row>
    <row r="1465" spans="1:21" ht="30.6">
      <c r="A1465" s="6">
        <v>43441.372881944444</v>
      </c>
      <c r="B1465" s="7" t="str">
        <f>HYPERLINK("https://twitter.com/rafafumero","@rafafumero")</f>
        <v>@rafafumero</v>
      </c>
      <c r="C1465" s="8" t="s">
        <v>5327</v>
      </c>
      <c r="D1465" s="9" t="s">
        <v>5328</v>
      </c>
      <c r="E1465" s="10" t="str">
        <f>HYPERLINK("https://twitter.com/rafafumero/status/1070950273890299905","1070950273890299905")</f>
        <v>1070950273890299905</v>
      </c>
      <c r="F1465" s="11" t="s">
        <v>5329</v>
      </c>
      <c r="G1465" s="12"/>
      <c r="H1465" s="12"/>
      <c r="I1465" s="13">
        <v>0</v>
      </c>
      <c r="J1465" s="13">
        <v>0</v>
      </c>
      <c r="K1465" s="14" t="str">
        <f t="shared" ref="K1465:K1466" si="249">HYPERLINK("http://twitter.com","Twitter Web Client")</f>
        <v>Twitter Web Client</v>
      </c>
      <c r="L1465" s="13">
        <v>933</v>
      </c>
      <c r="M1465" s="13">
        <v>442</v>
      </c>
      <c r="N1465" s="13">
        <v>13</v>
      </c>
      <c r="O1465" s="15"/>
      <c r="P1465" s="6">
        <v>41891.788043981483</v>
      </c>
      <c r="Q1465" s="12"/>
      <c r="R1465" s="17" t="s">
        <v>5330</v>
      </c>
      <c r="S1465" s="12"/>
      <c r="T1465" s="12"/>
      <c r="U1465" s="10" t="str">
        <f>HYPERLINK("https://pbs.twimg.com/profile_images/684853320788344832/gy1WOx1x.jpg","View")</f>
        <v>View</v>
      </c>
    </row>
    <row r="1466" spans="1:21" ht="20.399999999999999">
      <c r="A1466" s="6">
        <v>43441.372083333335</v>
      </c>
      <c r="B1466" s="7" t="str">
        <f>HYPERLINK("https://twitter.com/lapaseata","@lapaseata")</f>
        <v>@lapaseata</v>
      </c>
      <c r="C1466" s="8" t="s">
        <v>5331</v>
      </c>
      <c r="D1466" s="9" t="s">
        <v>2742</v>
      </c>
      <c r="E1466" s="10" t="str">
        <f>HYPERLINK("https://twitter.com/lapaseata/status/1070949986555363328","1070949986555363328")</f>
        <v>1070949986555363328</v>
      </c>
      <c r="F1466" s="11" t="s">
        <v>5332</v>
      </c>
      <c r="G1466" s="11" t="s">
        <v>5333</v>
      </c>
      <c r="H1466" s="12"/>
      <c r="I1466" s="13">
        <v>0</v>
      </c>
      <c r="J1466" s="13">
        <v>0</v>
      </c>
      <c r="K1466" s="14" t="str">
        <f t="shared" si="249"/>
        <v>Twitter Web Client</v>
      </c>
      <c r="L1466" s="13">
        <v>7836</v>
      </c>
      <c r="M1466" s="13">
        <v>7639</v>
      </c>
      <c r="N1466" s="13">
        <v>64</v>
      </c>
      <c r="O1466" s="15"/>
      <c r="P1466" s="6">
        <v>40524.737581018519</v>
      </c>
      <c r="Q1466" s="16" t="s">
        <v>5334</v>
      </c>
      <c r="R1466" s="17" t="s">
        <v>5335</v>
      </c>
      <c r="S1466" s="11" t="s">
        <v>5336</v>
      </c>
      <c r="T1466" s="12"/>
      <c r="U1466" s="10" t="str">
        <f>HYPERLINK("https://pbs.twimg.com/profile_images/631047449524744192/3yyUmZJ5.jpg","View")</f>
        <v>View</v>
      </c>
    </row>
    <row r="1467" spans="1:21" ht="51">
      <c r="A1467" s="6">
        <v>43441.369560185187</v>
      </c>
      <c r="B1467" s="7" t="str">
        <f>HYPERLINK("https://twitter.com/mcevoy_elx","@mcevoy_elx")</f>
        <v>@mcevoy_elx</v>
      </c>
      <c r="C1467" s="8" t="s">
        <v>5337</v>
      </c>
      <c r="D1467" s="9" t="s">
        <v>5338</v>
      </c>
      <c r="E1467" s="10" t="str">
        <f>HYPERLINK("https://twitter.com/mcevoy_elx/status/1070949070947135488","1070949070947135488")</f>
        <v>1070949070947135488</v>
      </c>
      <c r="F1467" s="11" t="s">
        <v>5339</v>
      </c>
      <c r="G1467" s="12"/>
      <c r="H1467" s="12"/>
      <c r="I1467" s="13">
        <v>5</v>
      </c>
      <c r="J1467" s="13">
        <v>6</v>
      </c>
      <c r="K1467" s="14" t="str">
        <f t="shared" ref="K1467:K1469" si="250">HYPERLINK("http://twitter.com/download/android","Twitter for Android")</f>
        <v>Twitter for Android</v>
      </c>
      <c r="L1467" s="13">
        <v>355</v>
      </c>
      <c r="M1467" s="13">
        <v>148</v>
      </c>
      <c r="N1467" s="13">
        <v>5</v>
      </c>
      <c r="O1467" s="15"/>
      <c r="P1467" s="6">
        <v>41345.545416666668</v>
      </c>
      <c r="Q1467" s="12"/>
      <c r="R1467" s="17" t="s">
        <v>5340</v>
      </c>
      <c r="S1467" s="12"/>
      <c r="T1467" s="12"/>
      <c r="U1467" s="10" t="str">
        <f>HYPERLINK("https://pbs.twimg.com/profile_images/949293359536975872/NAAKjxbi.jpg","View")</f>
        <v>View</v>
      </c>
    </row>
    <row r="1468" spans="1:21" ht="20.399999999999999">
      <c r="A1468" s="6">
        <v>43441.369490740741</v>
      </c>
      <c r="B1468" s="7" t="str">
        <f>HYPERLINK("https://twitter.com/alemany1993","@alemany1993")</f>
        <v>@alemany1993</v>
      </c>
      <c r="C1468" s="8" t="s">
        <v>5341</v>
      </c>
      <c r="D1468" s="9" t="s">
        <v>5342</v>
      </c>
      <c r="E1468" s="10" t="str">
        <f>HYPERLINK("https://twitter.com/alemany1993/status/1070949044745355265","1070949044745355265")</f>
        <v>1070949044745355265</v>
      </c>
      <c r="F1468" s="12"/>
      <c r="G1468" s="12"/>
      <c r="H1468" s="12"/>
      <c r="I1468" s="13">
        <v>1</v>
      </c>
      <c r="J1468" s="13">
        <v>2</v>
      </c>
      <c r="K1468" s="14" t="str">
        <f t="shared" si="250"/>
        <v>Twitter for Android</v>
      </c>
      <c r="L1468" s="13">
        <v>309</v>
      </c>
      <c r="M1468" s="13">
        <v>623</v>
      </c>
      <c r="N1468" s="13">
        <v>2</v>
      </c>
      <c r="O1468" s="15"/>
      <c r="P1468" s="6">
        <v>40434.509085648147</v>
      </c>
      <c r="Q1468" s="12"/>
      <c r="R1468" s="17" t="s">
        <v>5343</v>
      </c>
      <c r="S1468" s="12"/>
      <c r="T1468" s="12"/>
      <c r="U1468" s="10" t="str">
        <f>HYPERLINK("https://pbs.twimg.com/profile_images/1056336513020104704/Qw3hcYD-.jpg","View")</f>
        <v>View</v>
      </c>
    </row>
    <row r="1469" spans="1:21" ht="40.799999999999997">
      <c r="A1469" s="6">
        <v>43441.367893518516</v>
      </c>
      <c r="B1469" s="7" t="str">
        <f>HYPERLINK("https://twitter.com/vilpetrus","@vilpetrus")</f>
        <v>@vilpetrus</v>
      </c>
      <c r="C1469" s="8" t="s">
        <v>5344</v>
      </c>
      <c r="D1469" s="9" t="s">
        <v>5018</v>
      </c>
      <c r="E1469" s="10" t="str">
        <f>HYPERLINK("https://twitter.com/vilpetrus/status/1070948469228081152","1070948469228081152")</f>
        <v>1070948469228081152</v>
      </c>
      <c r="F1469" s="11" t="s">
        <v>115</v>
      </c>
      <c r="G1469" s="12"/>
      <c r="H1469" s="12"/>
      <c r="I1469" s="13">
        <v>0</v>
      </c>
      <c r="J1469" s="13">
        <v>1</v>
      </c>
      <c r="K1469" s="14" t="str">
        <f t="shared" si="250"/>
        <v>Twitter for Android</v>
      </c>
      <c r="L1469" s="13">
        <v>5170</v>
      </c>
      <c r="M1469" s="13">
        <v>4853</v>
      </c>
      <c r="N1469" s="13">
        <v>191</v>
      </c>
      <c r="O1469" s="15"/>
      <c r="P1469" s="6">
        <v>41300.873043981483</v>
      </c>
      <c r="Q1469" s="16" t="s">
        <v>5346</v>
      </c>
      <c r="R1469" s="17" t="s">
        <v>5347</v>
      </c>
      <c r="S1469" s="11" t="s">
        <v>5348</v>
      </c>
      <c r="T1469" s="12"/>
      <c r="U1469" s="10" t="str">
        <f>HYPERLINK("https://pbs.twimg.com/profile_images/957639207270408192/E1FJMYGk.jpg","View")</f>
        <v>View</v>
      </c>
    </row>
    <row r="1470" spans="1:21" ht="20.399999999999999">
      <c r="A1470" s="6">
        <v>43441.366574074069</v>
      </c>
      <c r="B1470" s="7" t="str">
        <f t="shared" ref="B1470:B1471" si="251">HYPERLINK("https://twitter.com/Alfacebook64","@Alfacebook64")</f>
        <v>@Alfacebook64</v>
      </c>
      <c r="C1470" s="8" t="s">
        <v>1783</v>
      </c>
      <c r="D1470" s="9" t="s">
        <v>2685</v>
      </c>
      <c r="E1470" s="10" t="str">
        <f>HYPERLINK("https://twitter.com/Alfacebook64/status/1070947989806596097","1070947989806596097")</f>
        <v>1070947989806596097</v>
      </c>
      <c r="F1470" s="11" t="s">
        <v>5350</v>
      </c>
      <c r="G1470" s="12"/>
      <c r="H1470" s="12"/>
      <c r="I1470" s="13">
        <v>0</v>
      </c>
      <c r="J1470" s="13">
        <v>0</v>
      </c>
      <c r="K1470" s="14" t="str">
        <f t="shared" ref="K1470:K1471" si="252">HYPERLINK("http://twitter.com/#!/download/ipad","Twitter for iPad")</f>
        <v>Twitter for iPad</v>
      </c>
      <c r="L1470" s="13">
        <v>4246</v>
      </c>
      <c r="M1470" s="13">
        <v>3515</v>
      </c>
      <c r="N1470" s="13">
        <v>39</v>
      </c>
      <c r="O1470" s="15"/>
      <c r="P1470" s="6">
        <v>42189.951504629629</v>
      </c>
      <c r="Q1470" s="16" t="s">
        <v>1785</v>
      </c>
      <c r="R1470" s="17" t="s">
        <v>1786</v>
      </c>
      <c r="S1470" s="12"/>
      <c r="T1470" s="12"/>
      <c r="U1470" s="10" t="str">
        <f t="shared" ref="U1470:U1471" si="253">HYPERLINK("https://pbs.twimg.com/profile_images/636562609811099648/TOG_sQjr.jpg","View")</f>
        <v>View</v>
      </c>
    </row>
    <row r="1471" spans="1:21" ht="20.399999999999999">
      <c r="A1471" s="6">
        <v>43441.366493055553</v>
      </c>
      <c r="B1471" s="7" t="str">
        <f t="shared" si="251"/>
        <v>@Alfacebook64</v>
      </c>
      <c r="C1471" s="8" t="s">
        <v>1783</v>
      </c>
      <c r="D1471" s="9" t="s">
        <v>3317</v>
      </c>
      <c r="E1471" s="10" t="str">
        <f>HYPERLINK("https://twitter.com/Alfacebook64/status/1070947960920379392","1070947960920379392")</f>
        <v>1070947960920379392</v>
      </c>
      <c r="F1471" s="11" t="s">
        <v>3500</v>
      </c>
      <c r="G1471" s="12"/>
      <c r="H1471" s="12"/>
      <c r="I1471" s="13">
        <v>1</v>
      </c>
      <c r="J1471" s="13">
        <v>1</v>
      </c>
      <c r="K1471" s="14" t="str">
        <f t="shared" si="252"/>
        <v>Twitter for iPad</v>
      </c>
      <c r="L1471" s="13">
        <v>4246</v>
      </c>
      <c r="M1471" s="13">
        <v>3515</v>
      </c>
      <c r="N1471" s="13">
        <v>39</v>
      </c>
      <c r="O1471" s="15"/>
      <c r="P1471" s="6">
        <v>42189.951504629629</v>
      </c>
      <c r="Q1471" s="16" t="s">
        <v>1785</v>
      </c>
      <c r="R1471" s="17" t="s">
        <v>1786</v>
      </c>
      <c r="S1471" s="12"/>
      <c r="T1471" s="12"/>
      <c r="U1471" s="10" t="str">
        <f t="shared" si="253"/>
        <v>View</v>
      </c>
    </row>
    <row r="1472" spans="1:21" ht="40.799999999999997">
      <c r="A1472" s="6">
        <v>43441.366249999999</v>
      </c>
      <c r="B1472" s="7" t="str">
        <f>HYPERLINK("https://twitter.com/brubeaker","@brubeaker")</f>
        <v>@brubeaker</v>
      </c>
      <c r="C1472" s="8" t="s">
        <v>4939</v>
      </c>
      <c r="D1472" s="9" t="s">
        <v>5351</v>
      </c>
      <c r="E1472" s="10" t="str">
        <f>HYPERLINK("https://twitter.com/brubeaker/status/1070947870096920577","1070947870096920577")</f>
        <v>1070947870096920577</v>
      </c>
      <c r="F1472" s="12"/>
      <c r="G1472" s="12"/>
      <c r="H1472" s="12"/>
      <c r="I1472" s="13">
        <v>0</v>
      </c>
      <c r="J1472" s="13">
        <v>0</v>
      </c>
      <c r="K1472" s="14" t="str">
        <f>HYPERLINK("http://twitter.com","Twitter Web Client")</f>
        <v>Twitter Web Client</v>
      </c>
      <c r="L1472" s="13">
        <v>38</v>
      </c>
      <c r="M1472" s="13">
        <v>164</v>
      </c>
      <c r="N1472" s="13">
        <v>2</v>
      </c>
      <c r="O1472" s="15"/>
      <c r="P1472" s="6">
        <v>41780.336550925924</v>
      </c>
      <c r="Q1472" s="12"/>
      <c r="R1472" s="17" t="s">
        <v>4941</v>
      </c>
      <c r="S1472" s="12"/>
      <c r="T1472" s="12"/>
      <c r="U1472" s="10" t="str">
        <f>HYPERLINK("https://pbs.twimg.com/profile_images/1036025081179332608/VWYH9QdS.jpg","View")</f>
        <v>View</v>
      </c>
    </row>
    <row r="1473" spans="1:21" ht="40.799999999999997">
      <c r="A1473" s="6">
        <v>43441.366168981476</v>
      </c>
      <c r="B1473" s="7" t="str">
        <f>HYPERLINK("https://twitter.com/guillesanabriap","@guillesanabriap")</f>
        <v>@guillesanabriap</v>
      </c>
      <c r="C1473" s="8" t="s">
        <v>5352</v>
      </c>
      <c r="D1473" s="9" t="s">
        <v>5353</v>
      </c>
      <c r="E1473" s="10" t="str">
        <f>HYPERLINK("https://twitter.com/guillesanabriap/status/1070947842854936576","1070947842854936576")</f>
        <v>1070947842854936576</v>
      </c>
      <c r="F1473" s="11" t="s">
        <v>115</v>
      </c>
      <c r="G1473" s="12"/>
      <c r="H1473" s="12"/>
      <c r="I1473" s="13">
        <v>0</v>
      </c>
      <c r="J1473" s="13">
        <v>1</v>
      </c>
      <c r="K1473" s="14" t="str">
        <f>HYPERLINK("http://twitter.com/download/iphone","Twitter for iPhone")</f>
        <v>Twitter for iPhone</v>
      </c>
      <c r="L1473" s="13">
        <v>73</v>
      </c>
      <c r="M1473" s="13">
        <v>149</v>
      </c>
      <c r="N1473" s="13">
        <v>0</v>
      </c>
      <c r="O1473" s="15"/>
      <c r="P1473" s="6">
        <v>40855.9690625</v>
      </c>
      <c r="Q1473" s="16" t="s">
        <v>60</v>
      </c>
      <c r="R1473" s="19"/>
      <c r="S1473" s="12"/>
      <c r="T1473" s="12"/>
      <c r="U1473" s="10" t="str">
        <f>HYPERLINK("https://pbs.twimg.com/profile_images/905796919783550976/exT1vPtx.jpg","View")</f>
        <v>View</v>
      </c>
    </row>
    <row r="1474" spans="1:21" ht="30.6">
      <c r="A1474" s="6">
        <v>43441.36518518519</v>
      </c>
      <c r="B1474" s="7" t="str">
        <f>HYPERLINK("https://twitter.com/marilomallo","@marilomallo")</f>
        <v>@marilomallo</v>
      </c>
      <c r="C1474" s="8" t="s">
        <v>5354</v>
      </c>
      <c r="D1474" s="9" t="s">
        <v>5355</v>
      </c>
      <c r="E1474" s="10" t="str">
        <f>HYPERLINK("https://twitter.com/marilomallo/status/1070947485806444544","1070947485806444544")</f>
        <v>1070947485806444544</v>
      </c>
      <c r="F1474" s="11" t="s">
        <v>1185</v>
      </c>
      <c r="G1474" s="12"/>
      <c r="H1474" s="12"/>
      <c r="I1474" s="13">
        <v>0</v>
      </c>
      <c r="J1474" s="13">
        <v>0</v>
      </c>
      <c r="K1474" s="14" t="str">
        <f>HYPERLINK("http://twitter.com/download/android","Twitter for Android")</f>
        <v>Twitter for Android</v>
      </c>
      <c r="L1474" s="13">
        <v>94</v>
      </c>
      <c r="M1474" s="13">
        <v>2</v>
      </c>
      <c r="N1474" s="13">
        <v>0</v>
      </c>
      <c r="O1474" s="15"/>
      <c r="P1474" s="6">
        <v>43122.959548611107</v>
      </c>
      <c r="Q1474" s="12"/>
      <c r="R1474" s="19"/>
      <c r="S1474" s="12"/>
      <c r="T1474" s="12"/>
      <c r="U1474" s="18" t="s">
        <v>67</v>
      </c>
    </row>
    <row r="1475" spans="1:21" ht="20.399999999999999">
      <c r="A1475" s="6">
        <v>43441.364606481482</v>
      </c>
      <c r="B1475" s="7" t="str">
        <f>HYPERLINK("https://twitter.com/EP_Mundo","@EP_Mundo")</f>
        <v>@EP_Mundo</v>
      </c>
      <c r="C1475" s="8" t="s">
        <v>735</v>
      </c>
      <c r="D1475" s="9" t="s">
        <v>2756</v>
      </c>
      <c r="E1475" s="10" t="str">
        <f>HYPERLINK("https://twitter.com/EP_Mundo/status/1070947275747270656","1070947275747270656")</f>
        <v>1070947275747270656</v>
      </c>
      <c r="F1475" s="11" t="s">
        <v>2757</v>
      </c>
      <c r="G1475" s="11" t="s">
        <v>5356</v>
      </c>
      <c r="H1475" s="12"/>
      <c r="I1475" s="13">
        <v>0</v>
      </c>
      <c r="J1475" s="13">
        <v>0</v>
      </c>
      <c r="K1475" s="14" t="str">
        <f>HYPERLINK("http://epmundo.com","Tuiteo TOP EP (2)")</f>
        <v>Tuiteo TOP EP (2)</v>
      </c>
      <c r="L1475" s="13">
        <v>510220</v>
      </c>
      <c r="M1475" s="13">
        <v>301867</v>
      </c>
      <c r="N1475" s="13">
        <v>1363</v>
      </c>
      <c r="O1475" s="15"/>
      <c r="P1475" s="6">
        <v>40203.223078703704</v>
      </c>
      <c r="Q1475" s="12"/>
      <c r="R1475" s="17" t="s">
        <v>739</v>
      </c>
      <c r="S1475" s="11" t="s">
        <v>740</v>
      </c>
      <c r="T1475" s="12"/>
      <c r="U1475" s="10" t="str">
        <f>HYPERLINK("https://pbs.twimg.com/profile_images/958329583778099200/87-xiuzB.jpg","View")</f>
        <v>View</v>
      </c>
    </row>
    <row r="1476" spans="1:21" ht="30.6">
      <c r="A1476" s="6">
        <v>43441.363333333335</v>
      </c>
      <c r="B1476" s="7" t="str">
        <f>HYPERLINK("https://twitter.com/Nosoydelamasa","@Nosoydelamasa")</f>
        <v>@Nosoydelamasa</v>
      </c>
      <c r="C1476" s="8" t="s">
        <v>5357</v>
      </c>
      <c r="D1476" s="9" t="s">
        <v>5358</v>
      </c>
      <c r="E1476" s="10" t="str">
        <f>HYPERLINK("https://twitter.com/Nosoydelamasa/status/1070946814549995521","1070946814549995521")</f>
        <v>1070946814549995521</v>
      </c>
      <c r="F1476" s="11" t="s">
        <v>3500</v>
      </c>
      <c r="G1476" s="12"/>
      <c r="H1476" s="12"/>
      <c r="I1476" s="13">
        <v>0</v>
      </c>
      <c r="J1476" s="13">
        <v>0</v>
      </c>
      <c r="K1476" s="14" t="str">
        <f>HYPERLINK("http://twitter.com","Twitter Web Client")</f>
        <v>Twitter Web Client</v>
      </c>
      <c r="L1476" s="13">
        <v>168</v>
      </c>
      <c r="M1476" s="13">
        <v>153</v>
      </c>
      <c r="N1476" s="13">
        <v>0</v>
      </c>
      <c r="O1476" s="15"/>
      <c r="P1476" s="6">
        <v>43277.500868055555</v>
      </c>
      <c r="Q1476" s="12"/>
      <c r="R1476" s="17" t="s">
        <v>5359</v>
      </c>
      <c r="S1476" s="12"/>
      <c r="T1476" s="12"/>
      <c r="U1476" s="10" t="str">
        <f>HYPERLINK("https://pbs.twimg.com/profile_images/1033818372813844480/PBdMj-OF.jpg","View")</f>
        <v>View</v>
      </c>
    </row>
    <row r="1477" spans="1:21" ht="20.399999999999999">
      <c r="A1477" s="6">
        <v>43441.362129629633</v>
      </c>
      <c r="B1477" s="7" t="str">
        <f>HYPERLINK("https://twitter.com/outoffreedom","@outoffreedom")</f>
        <v>@outoffreedom</v>
      </c>
      <c r="C1477" s="8" t="s">
        <v>5360</v>
      </c>
      <c r="D1477" s="9" t="s">
        <v>5361</v>
      </c>
      <c r="E1477" s="10" t="str">
        <f>HYPERLINK("https://twitter.com/outoffreedom/status/1070946377033748480","1070946377033748480")</f>
        <v>1070946377033748480</v>
      </c>
      <c r="F1477" s="12"/>
      <c r="G1477" s="12"/>
      <c r="H1477" s="12"/>
      <c r="I1477" s="13">
        <v>0</v>
      </c>
      <c r="J1477" s="13">
        <v>0</v>
      </c>
      <c r="K1477" s="14" t="str">
        <f>HYPERLINK("http://twitter.com/download/android","Twitter for Android")</f>
        <v>Twitter for Android</v>
      </c>
      <c r="L1477" s="13">
        <v>607</v>
      </c>
      <c r="M1477" s="13">
        <v>582</v>
      </c>
      <c r="N1477" s="13">
        <v>27</v>
      </c>
      <c r="O1477" s="15"/>
      <c r="P1477" s="6">
        <v>40583.018321759257</v>
      </c>
      <c r="Q1477" s="16" t="s">
        <v>5362</v>
      </c>
      <c r="R1477" s="17" t="s">
        <v>5363</v>
      </c>
      <c r="S1477" s="11" t="s">
        <v>5364</v>
      </c>
      <c r="T1477" s="12"/>
      <c r="U1477" s="10" t="str">
        <f>HYPERLINK("https://pbs.twimg.com/profile_images/886152659849408513/WFnV3YAH.jpg","View")</f>
        <v>View</v>
      </c>
    </row>
    <row r="1478" spans="1:21" ht="40.799999999999997">
      <c r="A1478" s="6">
        <v>43441.361203703702</v>
      </c>
      <c r="B1478" s="7" t="str">
        <f>HYPERLINK("https://twitter.com/Simbaad387","@Simbaad387")</f>
        <v>@Simbaad387</v>
      </c>
      <c r="C1478" s="8" t="s">
        <v>5365</v>
      </c>
      <c r="D1478" s="9" t="s">
        <v>5366</v>
      </c>
      <c r="E1478" s="10" t="str">
        <f>HYPERLINK("https://twitter.com/Simbaad387/status/1070946041481060354","1070946041481060354")</f>
        <v>1070946041481060354</v>
      </c>
      <c r="F1478" s="11" t="s">
        <v>1376</v>
      </c>
      <c r="G1478" s="12"/>
      <c r="H1478" s="12"/>
      <c r="I1478" s="13">
        <v>0</v>
      </c>
      <c r="J1478" s="13">
        <v>0</v>
      </c>
      <c r="K1478" s="14" t="str">
        <f>HYPERLINK("http://twitter.com/download/iphone","Twitter for iPhone")</f>
        <v>Twitter for iPhone</v>
      </c>
      <c r="L1478" s="13">
        <v>32</v>
      </c>
      <c r="M1478" s="13">
        <v>89</v>
      </c>
      <c r="N1478" s="13">
        <v>0</v>
      </c>
      <c r="O1478" s="15"/>
      <c r="P1478" s="6">
        <v>43336.163206018522</v>
      </c>
      <c r="Q1478" s="12"/>
      <c r="R1478" s="17" t="s">
        <v>5367</v>
      </c>
      <c r="S1478" s="12"/>
      <c r="T1478" s="12"/>
      <c r="U1478" s="10" t="str">
        <f>HYPERLINK("https://pbs.twimg.com/profile_images/1032893294232125440/xGVzpt0C.jpg","View")</f>
        <v>View</v>
      </c>
    </row>
    <row r="1479" spans="1:21" ht="51">
      <c r="A1479" s="6">
        <v>43441.360902777778</v>
      </c>
      <c r="B1479" s="7" t="str">
        <f>HYPERLINK("https://twitter.com/Daniel2286VAL","@Daniel2286VAL")</f>
        <v>@Daniel2286VAL</v>
      </c>
      <c r="C1479" s="8" t="s">
        <v>528</v>
      </c>
      <c r="D1479" s="9" t="s">
        <v>5368</v>
      </c>
      <c r="E1479" s="10" t="str">
        <f>HYPERLINK("https://twitter.com/Daniel2286VAL/status/1070945932265578496","1070945932265578496")</f>
        <v>1070945932265578496</v>
      </c>
      <c r="F1479" s="11" t="s">
        <v>5369</v>
      </c>
      <c r="G1479" s="11" t="s">
        <v>5370</v>
      </c>
      <c r="H1479" s="12"/>
      <c r="I1479" s="13">
        <v>1</v>
      </c>
      <c r="J1479" s="13">
        <v>1</v>
      </c>
      <c r="K1479" s="14" t="str">
        <f t="shared" ref="K1479:K1481" si="254">HYPERLINK("http://twitter.com/download/android","Twitter for Android")</f>
        <v>Twitter for Android</v>
      </c>
      <c r="L1479" s="13">
        <v>1125</v>
      </c>
      <c r="M1479" s="13">
        <v>1051</v>
      </c>
      <c r="N1479" s="13">
        <v>5</v>
      </c>
      <c r="O1479" s="15"/>
      <c r="P1479" s="6">
        <v>43182.681550925925</v>
      </c>
      <c r="Q1479" s="16" t="s">
        <v>532</v>
      </c>
      <c r="R1479" s="17" t="s">
        <v>533</v>
      </c>
      <c r="S1479" s="12"/>
      <c r="T1479" s="12"/>
      <c r="U1479" s="10" t="str">
        <f>HYPERLINK("https://pbs.twimg.com/profile_images/1050887908792655874/UREU1RPS.jpg","View")</f>
        <v>View</v>
      </c>
    </row>
    <row r="1480" spans="1:21" ht="61.2">
      <c r="A1480" s="6">
        <v>43441.358541666668</v>
      </c>
      <c r="B1480" s="7" t="str">
        <f>HYPERLINK("https://twitter.com/ATENHEA1","@ATENHEA1")</f>
        <v>@ATENHEA1</v>
      </c>
      <c r="C1480" s="8" t="s">
        <v>5371</v>
      </c>
      <c r="D1480" s="9" t="s">
        <v>5372</v>
      </c>
      <c r="E1480" s="10" t="str">
        <f>HYPERLINK("https://twitter.com/ATENHEA1/status/1070945079546789889","1070945079546789889")</f>
        <v>1070945079546789889</v>
      </c>
      <c r="F1480" s="11" t="s">
        <v>2409</v>
      </c>
      <c r="G1480" s="12"/>
      <c r="H1480" s="12"/>
      <c r="I1480" s="13">
        <v>0</v>
      </c>
      <c r="J1480" s="13">
        <v>0</v>
      </c>
      <c r="K1480" s="14" t="str">
        <f t="shared" si="254"/>
        <v>Twitter for Android</v>
      </c>
      <c r="L1480" s="13">
        <v>2409</v>
      </c>
      <c r="M1480" s="13">
        <v>2346</v>
      </c>
      <c r="N1480" s="13">
        <v>29</v>
      </c>
      <c r="O1480" s="15"/>
      <c r="P1480" s="6">
        <v>41168.46802083333</v>
      </c>
      <c r="Q1480" s="16" t="s">
        <v>325</v>
      </c>
      <c r="R1480" s="17" t="s">
        <v>5373</v>
      </c>
      <c r="S1480" s="12"/>
      <c r="T1480" s="12"/>
      <c r="U1480" s="10" t="str">
        <f>HYPERLINK("https://pbs.twimg.com/profile_images/1066812573323018241/n2gzbtMj.jpg","View")</f>
        <v>View</v>
      </c>
    </row>
    <row r="1481" spans="1:21" ht="20.399999999999999">
      <c r="A1481" s="6">
        <v>43441.357905092591</v>
      </c>
      <c r="B1481" s="7" t="str">
        <f>HYPERLINK("https://twitter.com/BellochAlberto","@BellochAlberto")</f>
        <v>@BellochAlberto</v>
      </c>
      <c r="C1481" s="8" t="s">
        <v>5374</v>
      </c>
      <c r="D1481" s="9" t="s">
        <v>5375</v>
      </c>
      <c r="E1481" s="10" t="str">
        <f>HYPERLINK("https://twitter.com/BellochAlberto/status/1070944848151306240","1070944848151306240")</f>
        <v>1070944848151306240</v>
      </c>
      <c r="F1481" s="11" t="s">
        <v>467</v>
      </c>
      <c r="G1481" s="12"/>
      <c r="H1481" s="12"/>
      <c r="I1481" s="13">
        <v>0</v>
      </c>
      <c r="J1481" s="13">
        <v>0</v>
      </c>
      <c r="K1481" s="14" t="str">
        <f t="shared" si="254"/>
        <v>Twitter for Android</v>
      </c>
      <c r="L1481" s="13">
        <v>92</v>
      </c>
      <c r="M1481" s="13">
        <v>42</v>
      </c>
      <c r="N1481" s="13">
        <v>1</v>
      </c>
      <c r="O1481" s="15"/>
      <c r="P1481" s="6">
        <v>43084.125231481477</v>
      </c>
      <c r="Q1481" s="16" t="s">
        <v>230</v>
      </c>
      <c r="R1481" s="17" t="s">
        <v>5376</v>
      </c>
      <c r="S1481" s="12"/>
      <c r="T1481" s="12"/>
      <c r="U1481" s="10" t="str">
        <f>HYPERLINK("https://pbs.twimg.com/profile_images/1013059523572060161/DKBcgJgm.jpg","View")</f>
        <v>View</v>
      </c>
    </row>
    <row r="1482" spans="1:21" ht="20.399999999999999">
      <c r="A1482" s="6">
        <v>43441.35769675926</v>
      </c>
      <c r="B1482" s="7" t="str">
        <f>HYPERLINK("https://twitter.com/winston1955","@winston1955")</f>
        <v>@winston1955</v>
      </c>
      <c r="C1482" s="8" t="s">
        <v>5377</v>
      </c>
      <c r="D1482" s="9" t="s">
        <v>4627</v>
      </c>
      <c r="E1482" s="10" t="str">
        <f>HYPERLINK("https://twitter.com/winston1955/status/1070944773324845056","1070944773324845056")</f>
        <v>1070944773324845056</v>
      </c>
      <c r="F1482" s="11" t="s">
        <v>4628</v>
      </c>
      <c r="G1482" s="12"/>
      <c r="H1482" s="12"/>
      <c r="I1482" s="13">
        <v>0</v>
      </c>
      <c r="J1482" s="13">
        <v>0</v>
      </c>
      <c r="K1482" s="14" t="str">
        <f t="shared" ref="K1482:K1483" si="255">HYPERLINK("http://twitter.com","Twitter Web Client")</f>
        <v>Twitter Web Client</v>
      </c>
      <c r="L1482" s="13">
        <v>790</v>
      </c>
      <c r="M1482" s="13">
        <v>1086</v>
      </c>
      <c r="N1482" s="13">
        <v>21</v>
      </c>
      <c r="O1482" s="15"/>
      <c r="P1482" s="6">
        <v>41933.443912037037</v>
      </c>
      <c r="Q1482" s="12"/>
      <c r="R1482" s="19"/>
      <c r="S1482" s="12"/>
      <c r="T1482" s="12"/>
      <c r="U1482" s="10" t="str">
        <f>HYPERLINK("https://pbs.twimg.com/profile_images/524482500840546304/WODty3h0.jpeg","View")</f>
        <v>View</v>
      </c>
    </row>
    <row r="1483" spans="1:21" ht="30.6">
      <c r="A1483" s="6">
        <v>43441.357175925921</v>
      </c>
      <c r="B1483" s="7" t="str">
        <f>HYPERLINK("https://twitter.com/iruizquintano","@iruizquintano")</f>
        <v>@iruizquintano</v>
      </c>
      <c r="C1483" s="8" t="s">
        <v>5378</v>
      </c>
      <c r="D1483" s="9" t="s">
        <v>5379</v>
      </c>
      <c r="E1483" s="10" t="str">
        <f>HYPERLINK("https://twitter.com/iruizquintano/status/1070944582999924736","1070944582999924736")</f>
        <v>1070944582999924736</v>
      </c>
      <c r="F1483" s="11" t="s">
        <v>5380</v>
      </c>
      <c r="G1483" s="12"/>
      <c r="H1483" s="12"/>
      <c r="I1483" s="13">
        <v>1</v>
      </c>
      <c r="J1483" s="13">
        <v>1</v>
      </c>
      <c r="K1483" s="14" t="str">
        <f t="shared" si="255"/>
        <v>Twitter Web Client</v>
      </c>
      <c r="L1483" s="13">
        <v>4445</v>
      </c>
      <c r="M1483" s="13">
        <v>88</v>
      </c>
      <c r="N1483" s="13">
        <v>132</v>
      </c>
      <c r="O1483" s="15"/>
      <c r="P1483" s="6">
        <v>40556.71199074074</v>
      </c>
      <c r="Q1483" s="16" t="s">
        <v>5381</v>
      </c>
      <c r="R1483" s="17" t="s">
        <v>5382</v>
      </c>
      <c r="S1483" s="11" t="s">
        <v>5383</v>
      </c>
      <c r="T1483" s="12"/>
      <c r="U1483" s="10" t="str">
        <f>HYPERLINK("https://pbs.twimg.com/profile_images/3499755091/121c019f11533f22131d515fa02598d7.jpeg","View")</f>
        <v>View</v>
      </c>
    </row>
    <row r="1484" spans="1:21" ht="40.799999999999997">
      <c r="A1484" s="6">
        <v>43441.35701388889</v>
      </c>
      <c r="B1484" s="7" t="str">
        <f>HYPERLINK("https://twitter.com/HAUPOLD","@HAUPOLD")</f>
        <v>@HAUPOLD</v>
      </c>
      <c r="C1484" s="8" t="s">
        <v>721</v>
      </c>
      <c r="D1484" s="9" t="s">
        <v>4152</v>
      </c>
      <c r="E1484" s="10" t="str">
        <f>HYPERLINK("https://twitter.com/HAUPOLD/status/1070944526536069120","1070944526536069120")</f>
        <v>1070944526536069120</v>
      </c>
      <c r="F1484" s="11" t="s">
        <v>5384</v>
      </c>
      <c r="G1484" s="11" t="s">
        <v>5385</v>
      </c>
      <c r="H1484" s="12"/>
      <c r="I1484" s="13">
        <v>0</v>
      </c>
      <c r="J1484" s="13">
        <v>0</v>
      </c>
      <c r="K1484" s="14" t="str">
        <f>HYPERLINK("https://dlvrit.com/","dlvr.it")</f>
        <v>dlvr.it</v>
      </c>
      <c r="L1484" s="13">
        <v>23789</v>
      </c>
      <c r="M1484" s="13">
        <v>10291</v>
      </c>
      <c r="N1484" s="13">
        <v>321</v>
      </c>
      <c r="O1484" s="15"/>
      <c r="P1484" s="6">
        <v>40096.760162037041</v>
      </c>
      <c r="Q1484" s="16" t="s">
        <v>724</v>
      </c>
      <c r="R1484" s="17" t="s">
        <v>725</v>
      </c>
      <c r="S1484" s="11" t="s">
        <v>726</v>
      </c>
      <c r="T1484" s="12"/>
      <c r="U1484" s="10" t="str">
        <f>HYPERLINK("https://pbs.twimg.com/profile_images/474273362/Antonio_Romero-Haupold_Caballero.jpg","View")</f>
        <v>View</v>
      </c>
    </row>
    <row r="1485" spans="1:21" ht="30.6">
      <c r="A1485" s="6">
        <v>43441.356990740736</v>
      </c>
      <c r="B1485" s="7" t="str">
        <f>HYPERLINK("https://twitter.com/ESCUPELOYACOM","@ESCUPELOYACOM")</f>
        <v>@ESCUPELOYACOM</v>
      </c>
      <c r="C1485" s="8" t="s">
        <v>5386</v>
      </c>
      <c r="D1485" s="9" t="s">
        <v>5387</v>
      </c>
      <c r="E1485" s="10" t="str">
        <f>HYPERLINK("https://twitter.com/ESCUPELOYACOM/status/1070944516872507392","1070944516872507392")</f>
        <v>1070944516872507392</v>
      </c>
      <c r="F1485" s="11" t="s">
        <v>2270</v>
      </c>
      <c r="G1485" s="12"/>
      <c r="H1485" s="12"/>
      <c r="I1485" s="13">
        <v>0</v>
      </c>
      <c r="J1485" s="13">
        <v>0</v>
      </c>
      <c r="K1485" s="14" t="str">
        <f>HYPERLINK("http://twitter.com","Twitter Web Client")</f>
        <v>Twitter Web Client</v>
      </c>
      <c r="L1485" s="13">
        <v>3985</v>
      </c>
      <c r="M1485" s="13">
        <v>4512</v>
      </c>
      <c r="N1485" s="13">
        <v>104</v>
      </c>
      <c r="O1485" s="15"/>
      <c r="P1485" s="6">
        <v>40966.613530092596</v>
      </c>
      <c r="Q1485" s="16" t="s">
        <v>87</v>
      </c>
      <c r="R1485" s="17" t="s">
        <v>5388</v>
      </c>
      <c r="S1485" s="12"/>
      <c r="T1485" s="12"/>
      <c r="U1485" s="10" t="str">
        <f>HYPERLINK("https://pbs.twimg.com/profile_images/1857667710/escupelo_ya_peque.jpg","View")</f>
        <v>View</v>
      </c>
    </row>
    <row r="1486" spans="1:21" ht="71.400000000000006">
      <c r="A1486" s="6">
        <v>43441.356828703705</v>
      </c>
      <c r="B1486" s="7" t="str">
        <f>HYPERLINK("https://twitter.com/JesusJTorres2","@JesusJTorres2")</f>
        <v>@JesusJTorres2</v>
      </c>
      <c r="C1486" s="8" t="s">
        <v>5389</v>
      </c>
      <c r="D1486" s="9" t="s">
        <v>5390</v>
      </c>
      <c r="E1486" s="10" t="str">
        <f>HYPERLINK("https://twitter.com/JesusJTorres2/status/1070944455488876544","1070944455488876544")</f>
        <v>1070944455488876544</v>
      </c>
      <c r="F1486" s="11" t="s">
        <v>54</v>
      </c>
      <c r="G1486" s="11" t="s">
        <v>55</v>
      </c>
      <c r="H1486" s="12"/>
      <c r="I1486" s="13">
        <v>0</v>
      </c>
      <c r="J1486" s="13">
        <v>3</v>
      </c>
      <c r="K1486" s="14" t="str">
        <f>HYPERLINK("http://twitter.com/download/iphone","Twitter for iPhone")</f>
        <v>Twitter for iPhone</v>
      </c>
      <c r="L1486" s="13">
        <v>822</v>
      </c>
      <c r="M1486" s="13">
        <v>888</v>
      </c>
      <c r="N1486" s="13">
        <v>2</v>
      </c>
      <c r="O1486" s="15"/>
      <c r="P1486" s="6">
        <v>40924.000011574077</v>
      </c>
      <c r="Q1486" s="16" t="s">
        <v>5391</v>
      </c>
      <c r="R1486" s="17" t="s">
        <v>5392</v>
      </c>
      <c r="S1486" s="12"/>
      <c r="T1486" s="12"/>
      <c r="U1486" s="10" t="str">
        <f>HYPERLINK("https://pbs.twimg.com/profile_images/999596415952154625/gbi8T7Qb.jpg","View")</f>
        <v>View</v>
      </c>
    </row>
    <row r="1487" spans="1:21" ht="61.2">
      <c r="A1487" s="6">
        <v>43441.35670138889</v>
      </c>
      <c r="B1487" s="7" t="str">
        <f>HYPERLINK("https://twitter.com/ATENHEA1","@ATENHEA1")</f>
        <v>@ATENHEA1</v>
      </c>
      <c r="C1487" s="8" t="s">
        <v>5371</v>
      </c>
      <c r="D1487" s="9" t="s">
        <v>5393</v>
      </c>
      <c r="E1487" s="10" t="str">
        <f>HYPERLINK("https://twitter.com/ATENHEA1/status/1070944409452204032","1070944409452204032")</f>
        <v>1070944409452204032</v>
      </c>
      <c r="F1487" s="11" t="s">
        <v>2409</v>
      </c>
      <c r="G1487" s="12"/>
      <c r="H1487" s="12"/>
      <c r="I1487" s="13">
        <v>2</v>
      </c>
      <c r="J1487" s="13">
        <v>1</v>
      </c>
      <c r="K1487" s="14" t="str">
        <f>HYPERLINK("http://twitter.com/download/android","Twitter for Android")</f>
        <v>Twitter for Android</v>
      </c>
      <c r="L1487" s="13">
        <v>2409</v>
      </c>
      <c r="M1487" s="13">
        <v>2346</v>
      </c>
      <c r="N1487" s="13">
        <v>29</v>
      </c>
      <c r="O1487" s="15"/>
      <c r="P1487" s="6">
        <v>41168.46802083333</v>
      </c>
      <c r="Q1487" s="16" t="s">
        <v>325</v>
      </c>
      <c r="R1487" s="17" t="s">
        <v>5373</v>
      </c>
      <c r="S1487" s="12"/>
      <c r="T1487" s="12"/>
      <c r="U1487" s="10" t="str">
        <f>HYPERLINK("https://pbs.twimg.com/profile_images/1066812573323018241/n2gzbtMj.jpg","View")</f>
        <v>View</v>
      </c>
    </row>
    <row r="1488" spans="1:21" ht="30.6">
      <c r="A1488" s="6">
        <v>43441.35628472222</v>
      </c>
      <c r="B1488" s="7" t="str">
        <f>HYPERLINK("https://twitter.com/derechotoday","@derechotoday")</f>
        <v>@derechotoday</v>
      </c>
      <c r="C1488" s="8" t="s">
        <v>5394</v>
      </c>
      <c r="D1488" s="9" t="s">
        <v>5395</v>
      </c>
      <c r="E1488" s="10" t="str">
        <f>HYPERLINK("https://twitter.com/derechotoday/status/1070944260109811713","1070944260109811713")</f>
        <v>1070944260109811713</v>
      </c>
      <c r="F1488" s="12"/>
      <c r="G1488" s="12"/>
      <c r="H1488" s="12"/>
      <c r="I1488" s="13">
        <v>1</v>
      </c>
      <c r="J1488" s="13">
        <v>4</v>
      </c>
      <c r="K1488" s="14" t="str">
        <f>HYPERLINK("http://twitter.com/download/iphone","Twitter for iPhone")</f>
        <v>Twitter for iPhone</v>
      </c>
      <c r="L1488" s="13">
        <v>66</v>
      </c>
      <c r="M1488" s="13">
        <v>14</v>
      </c>
      <c r="N1488" s="13">
        <v>2</v>
      </c>
      <c r="O1488" s="15"/>
      <c r="P1488" s="6">
        <v>42645.983715277776</v>
      </c>
      <c r="Q1488" s="16" t="s">
        <v>60</v>
      </c>
      <c r="R1488" s="17" t="s">
        <v>5396</v>
      </c>
      <c r="S1488" s="11" t="s">
        <v>5397</v>
      </c>
      <c r="T1488" s="12"/>
      <c r="U1488" s="10" t="str">
        <f>HYPERLINK("https://pbs.twimg.com/profile_images/789488292253368321/fq64U8cT.jpg","View")</f>
        <v>View</v>
      </c>
    </row>
    <row r="1489" spans="1:21" ht="20.399999999999999">
      <c r="A1489" s="6">
        <v>43441.354224537034</v>
      </c>
      <c r="B1489" s="7" t="str">
        <f>HYPERLINK("https://twitter.com/nagusias","@nagusias")</f>
        <v>@nagusias</v>
      </c>
      <c r="C1489" s="8" t="s">
        <v>5398</v>
      </c>
      <c r="D1489" s="9" t="s">
        <v>5018</v>
      </c>
      <c r="E1489" s="10" t="str">
        <f>HYPERLINK("https://twitter.com/nagusias/status/1070943515402821633","1070943515402821633")</f>
        <v>1070943515402821633</v>
      </c>
      <c r="F1489" s="11" t="s">
        <v>115</v>
      </c>
      <c r="G1489" s="12"/>
      <c r="H1489" s="12"/>
      <c r="I1489" s="13">
        <v>0</v>
      </c>
      <c r="J1489" s="13">
        <v>0</v>
      </c>
      <c r="K1489" s="14" t="str">
        <f>HYPERLINK("http://twitter.com","Twitter Web Client")</f>
        <v>Twitter Web Client</v>
      </c>
      <c r="L1489" s="13">
        <v>74</v>
      </c>
      <c r="M1489" s="13">
        <v>87</v>
      </c>
      <c r="N1489" s="13">
        <v>3</v>
      </c>
      <c r="O1489" s="15"/>
      <c r="P1489" s="6">
        <v>40875.355636574073</v>
      </c>
      <c r="Q1489" s="16" t="s">
        <v>1747</v>
      </c>
      <c r="R1489" s="17" t="s">
        <v>5399</v>
      </c>
      <c r="S1489" s="12"/>
      <c r="T1489" s="12"/>
      <c r="U1489" s="10" t="str">
        <f>HYPERLINK("https://pbs.twimg.com/profile_images/1663033754/2335628049_d7b19df58d_z.jpg","View")</f>
        <v>View</v>
      </c>
    </row>
    <row r="1490" spans="1:21" ht="20.399999999999999">
      <c r="A1490" s="6">
        <v>43441.353761574079</v>
      </c>
      <c r="B1490" s="7" t="str">
        <f>HYPERLINK("https://twitter.com/Paco_Pico27","@Paco_Pico27")</f>
        <v>@Paco_Pico27</v>
      </c>
      <c r="C1490" s="8" t="s">
        <v>5400</v>
      </c>
      <c r="D1490" s="9" t="s">
        <v>3089</v>
      </c>
      <c r="E1490" s="10" t="str">
        <f>HYPERLINK("https://twitter.com/Paco_Pico27/status/1070943347936768001","1070943347936768001")</f>
        <v>1070943347936768001</v>
      </c>
      <c r="F1490" s="11" t="s">
        <v>1376</v>
      </c>
      <c r="G1490" s="12"/>
      <c r="H1490" s="12"/>
      <c r="I1490" s="13">
        <v>0</v>
      </c>
      <c r="J1490" s="13">
        <v>0</v>
      </c>
      <c r="K1490" s="14" t="str">
        <f>HYPERLINK("http://twitter.com/download/android","Twitter for Android")</f>
        <v>Twitter for Android</v>
      </c>
      <c r="L1490" s="13">
        <v>469</v>
      </c>
      <c r="M1490" s="13">
        <v>860</v>
      </c>
      <c r="N1490" s="13">
        <v>23</v>
      </c>
      <c r="O1490" s="15"/>
      <c r="P1490" s="6">
        <v>41043.761145833334</v>
      </c>
      <c r="Q1490" s="16" t="s">
        <v>200</v>
      </c>
      <c r="R1490" s="17" t="s">
        <v>5401</v>
      </c>
      <c r="S1490" s="12"/>
      <c r="T1490" s="12"/>
      <c r="U1490" s="10" t="str">
        <f>HYPERLINK("https://pbs.twimg.com/profile_images/711077803148632064/3ryoGf1J.jpg","View")</f>
        <v>View</v>
      </c>
    </row>
    <row r="1491" spans="1:21" ht="30.6">
      <c r="A1491" s="6">
        <v>43441.352974537032</v>
      </c>
      <c r="B1491" s="7" t="str">
        <f>HYPERLINK("https://twitter.com/Salvador_vet","@Salvador_vet")</f>
        <v>@Salvador_vet</v>
      </c>
      <c r="C1491" s="8" t="s">
        <v>296</v>
      </c>
      <c r="D1491" s="9" t="s">
        <v>5402</v>
      </c>
      <c r="E1491" s="10" t="str">
        <f>HYPERLINK("https://twitter.com/Salvador_vet/status/1070943061658746880","1070943061658746880")</f>
        <v>1070943061658746880</v>
      </c>
      <c r="F1491" s="11" t="s">
        <v>689</v>
      </c>
      <c r="G1491" s="12"/>
      <c r="H1491" s="12"/>
      <c r="I1491" s="13">
        <v>1</v>
      </c>
      <c r="J1491" s="13">
        <v>0</v>
      </c>
      <c r="K1491" s="14" t="str">
        <f>HYPERLINK("http://twitter.com/download/iphone","Twitter for iPhone")</f>
        <v>Twitter for iPhone</v>
      </c>
      <c r="L1491" s="13">
        <v>1607</v>
      </c>
      <c r="M1491" s="13">
        <v>1796</v>
      </c>
      <c r="N1491" s="13">
        <v>29</v>
      </c>
      <c r="O1491" s="15"/>
      <c r="P1491" s="6">
        <v>42396.532488425924</v>
      </c>
      <c r="Q1491" s="16" t="s">
        <v>306</v>
      </c>
      <c r="R1491" s="17" t="s">
        <v>307</v>
      </c>
      <c r="S1491" s="12"/>
      <c r="T1491" s="12"/>
      <c r="U1491" s="10" t="str">
        <f>HYPERLINK("https://pbs.twimg.com/profile_images/994472126680838144/Qqaadw-m.jpg","View")</f>
        <v>View</v>
      </c>
    </row>
    <row r="1492" spans="1:21" ht="20.399999999999999">
      <c r="A1492" s="6">
        <v>43441.352731481486</v>
      </c>
      <c r="B1492" s="7" t="str">
        <f>HYPERLINK("https://twitter.com/TereRomgar","@TereRomgar")</f>
        <v>@TereRomgar</v>
      </c>
      <c r="C1492" s="8" t="s">
        <v>5403</v>
      </c>
      <c r="D1492" s="9" t="s">
        <v>4707</v>
      </c>
      <c r="E1492" s="10" t="str">
        <f>HYPERLINK("https://twitter.com/TereRomgar/status/1070942974169792512","1070942974169792512")</f>
        <v>1070942974169792512</v>
      </c>
      <c r="F1492" s="11" t="s">
        <v>4611</v>
      </c>
      <c r="G1492" s="12"/>
      <c r="H1492" s="12"/>
      <c r="I1492" s="13">
        <v>0</v>
      </c>
      <c r="J1492" s="13">
        <v>0</v>
      </c>
      <c r="K1492" s="14" t="str">
        <f>HYPERLINK("http://twitter.com","Twitter Web Client")</f>
        <v>Twitter Web Client</v>
      </c>
      <c r="L1492" s="13">
        <v>1498</v>
      </c>
      <c r="M1492" s="13">
        <v>2079</v>
      </c>
      <c r="N1492" s="13">
        <v>17</v>
      </c>
      <c r="O1492" s="15"/>
      <c r="P1492" s="6">
        <v>40041.572094907409</v>
      </c>
      <c r="Q1492" s="12"/>
      <c r="R1492" s="19"/>
      <c r="S1492" s="12"/>
      <c r="T1492" s="12"/>
      <c r="U1492" s="10" t="str">
        <f>HYPERLINK("https://pbs.twimg.com/profile_images/1610523733/Akubra_1.jpg","View")</f>
        <v>View</v>
      </c>
    </row>
    <row r="1493" spans="1:21" ht="20.399999999999999">
      <c r="A1493" s="6">
        <v>43441.348437499997</v>
      </c>
      <c r="B1493" s="7" t="str">
        <f>HYPERLINK("https://twitter.com/gramuag21","@gramuag21")</f>
        <v>@gramuag21</v>
      </c>
      <c r="C1493" s="8" t="s">
        <v>5081</v>
      </c>
      <c r="D1493" s="9" t="s">
        <v>5404</v>
      </c>
      <c r="E1493" s="10" t="str">
        <f>HYPERLINK("https://twitter.com/gramuag21/status/1070941418531758080","1070941418531758080")</f>
        <v>1070941418531758080</v>
      </c>
      <c r="F1493" s="11" t="s">
        <v>5405</v>
      </c>
      <c r="G1493" s="12"/>
      <c r="H1493" s="12"/>
      <c r="I1493" s="13">
        <v>0</v>
      </c>
      <c r="J1493" s="13">
        <v>0</v>
      </c>
      <c r="K1493" s="14" t="str">
        <f>HYPERLINK("http://twitter.com/download/android","Twitter for Android")</f>
        <v>Twitter for Android</v>
      </c>
      <c r="L1493" s="13">
        <v>507</v>
      </c>
      <c r="M1493" s="13">
        <v>462</v>
      </c>
      <c r="N1493" s="13">
        <v>2</v>
      </c>
      <c r="O1493" s="15"/>
      <c r="P1493" s="6">
        <v>42728.404062500005</v>
      </c>
      <c r="Q1493" s="16" t="s">
        <v>1586</v>
      </c>
      <c r="R1493" s="17" t="s">
        <v>5083</v>
      </c>
      <c r="S1493" s="12"/>
      <c r="T1493" s="12"/>
      <c r="U1493" s="10" t="str">
        <f>HYPERLINK("https://pbs.twimg.com/profile_images/1070950112166404096/4qCykNxS.jpg","View")</f>
        <v>View</v>
      </c>
    </row>
    <row r="1494" spans="1:21" ht="30.6">
      <c r="A1494" s="6">
        <v>43441.347152777773</v>
      </c>
      <c r="B1494" s="7" t="str">
        <f>HYPERLINK("https://twitter.com/diarioelcambio","@diarioelcambio")</f>
        <v>@diarioelcambio</v>
      </c>
      <c r="C1494" s="8" t="s">
        <v>5406</v>
      </c>
      <c r="D1494" s="9" t="s">
        <v>3989</v>
      </c>
      <c r="E1494" s="10" t="str">
        <f>HYPERLINK("https://twitter.com/diarioelcambio/status/1070940951969964032","1070940951969964032")</f>
        <v>1070940951969964032</v>
      </c>
      <c r="F1494" s="11" t="s">
        <v>2582</v>
      </c>
      <c r="G1494" s="12"/>
      <c r="H1494" s="12"/>
      <c r="I1494" s="13">
        <v>0</v>
      </c>
      <c r="J1494" s="13">
        <v>0</v>
      </c>
      <c r="K1494" s="14" t="str">
        <f>HYPERLINK("https://paper.li","Paper.li")</f>
        <v>Paper.li</v>
      </c>
      <c r="L1494" s="13">
        <v>21</v>
      </c>
      <c r="M1494" s="13">
        <v>116</v>
      </c>
      <c r="N1494" s="13">
        <v>1</v>
      </c>
      <c r="O1494" s="15"/>
      <c r="P1494" s="6">
        <v>42750.867812500001</v>
      </c>
      <c r="Q1494" s="16" t="s">
        <v>480</v>
      </c>
      <c r="R1494" s="17" t="s">
        <v>5407</v>
      </c>
      <c r="S1494" s="11" t="s">
        <v>5408</v>
      </c>
      <c r="T1494" s="12"/>
      <c r="U1494" s="10" t="str">
        <f>HYPERLINK("https://pbs.twimg.com/profile_images/821059762964074496/CY0nWHz8.jpg","View")</f>
        <v>View</v>
      </c>
    </row>
    <row r="1495" spans="1:21" ht="40.799999999999997">
      <c r="A1495" s="6">
        <v>43441.347071759257</v>
      </c>
      <c r="B1495" s="7" t="str">
        <f>HYPERLINK("https://twitter.com/jaimejvidal","@jaimejvidal")</f>
        <v>@jaimejvidal</v>
      </c>
      <c r="C1495" s="8" t="s">
        <v>5409</v>
      </c>
      <c r="D1495" s="9" t="s">
        <v>5402</v>
      </c>
      <c r="E1495" s="10" t="str">
        <f>HYPERLINK("https://twitter.com/jaimejvidal/status/1070940921791963137","1070940921791963137")</f>
        <v>1070940921791963137</v>
      </c>
      <c r="F1495" s="11" t="s">
        <v>689</v>
      </c>
      <c r="G1495" s="12"/>
      <c r="H1495" s="12"/>
      <c r="I1495" s="13">
        <v>0</v>
      </c>
      <c r="J1495" s="13">
        <v>0</v>
      </c>
      <c r="K1495" s="14" t="str">
        <f t="shared" ref="K1495:K1497" si="256">HYPERLINK("http://twitter.com/download/android","Twitter for Android")</f>
        <v>Twitter for Android</v>
      </c>
      <c r="L1495" s="13">
        <v>190</v>
      </c>
      <c r="M1495" s="13">
        <v>629</v>
      </c>
      <c r="N1495" s="13">
        <v>2</v>
      </c>
      <c r="O1495" s="15"/>
      <c r="P1495" s="6">
        <v>42165.479432870372</v>
      </c>
      <c r="Q1495" s="12"/>
      <c r="R1495" s="17" t="s">
        <v>5410</v>
      </c>
      <c r="S1495" s="12"/>
      <c r="T1495" s="12"/>
      <c r="U1495" s="10" t="str">
        <f>HYPERLINK("https://pbs.twimg.com/profile_images/608746571438649345/f6GeDGfF.jpg","View")</f>
        <v>View</v>
      </c>
    </row>
    <row r="1496" spans="1:21" ht="30.6">
      <c r="A1496" s="6">
        <v>43441.34679398148</v>
      </c>
      <c r="B1496" s="7" t="str">
        <f>HYPERLINK("https://twitter.com/albertnerviorot","@albertnerviorot")</f>
        <v>@albertnerviorot</v>
      </c>
      <c r="C1496" s="8" t="s">
        <v>5411</v>
      </c>
      <c r="D1496" s="9" t="s">
        <v>5412</v>
      </c>
      <c r="E1496" s="10" t="str">
        <f>HYPERLINK("https://twitter.com/albertnerviorot/status/1070940820411441152","1070940820411441152")</f>
        <v>1070940820411441152</v>
      </c>
      <c r="F1496" s="12"/>
      <c r="G1496" s="12"/>
      <c r="H1496" s="12"/>
      <c r="I1496" s="13">
        <v>54</v>
      </c>
      <c r="J1496" s="13">
        <v>116</v>
      </c>
      <c r="K1496" s="14" t="str">
        <f t="shared" si="256"/>
        <v>Twitter for Android</v>
      </c>
      <c r="L1496" s="13">
        <v>10536</v>
      </c>
      <c r="M1496" s="13">
        <v>5418</v>
      </c>
      <c r="N1496" s="13">
        <v>26</v>
      </c>
      <c r="O1496" s="15"/>
      <c r="P1496" s="6">
        <v>40604.775266203702</v>
      </c>
      <c r="Q1496" s="16" t="s">
        <v>5413</v>
      </c>
      <c r="R1496" s="17" t="s">
        <v>5414</v>
      </c>
      <c r="S1496" s="12"/>
      <c r="T1496" s="12"/>
      <c r="U1496" s="10" t="str">
        <f>HYPERLINK("https://pbs.twimg.com/profile_images/1066617148557148160/QOIvthTZ.jpg","View")</f>
        <v>View</v>
      </c>
    </row>
    <row r="1497" spans="1:21" ht="40.799999999999997">
      <c r="A1497" s="6">
        <v>43441.34642361111</v>
      </c>
      <c r="B1497" s="7" t="str">
        <f>HYPERLINK("https://twitter.com/Ricardo13625223","@Ricardo13625223")</f>
        <v>@Ricardo13625223</v>
      </c>
      <c r="C1497" s="8" t="s">
        <v>1808</v>
      </c>
      <c r="D1497" s="9" t="s">
        <v>5415</v>
      </c>
      <c r="E1497" s="10" t="str">
        <f>HYPERLINK("https://twitter.com/Ricardo13625223/status/1070940688756498432","1070940688756498432")</f>
        <v>1070940688756498432</v>
      </c>
      <c r="F1497" s="11" t="s">
        <v>246</v>
      </c>
      <c r="G1497" s="12"/>
      <c r="H1497" s="12"/>
      <c r="I1497" s="13">
        <v>16</v>
      </c>
      <c r="J1497" s="13">
        <v>13</v>
      </c>
      <c r="K1497" s="14" t="str">
        <f t="shared" si="256"/>
        <v>Twitter for Android</v>
      </c>
      <c r="L1497" s="13">
        <v>5387</v>
      </c>
      <c r="M1497" s="13">
        <v>5186</v>
      </c>
      <c r="N1497" s="13">
        <v>19</v>
      </c>
      <c r="O1497" s="15"/>
      <c r="P1497" s="6">
        <v>42767.797800925924</v>
      </c>
      <c r="Q1497" s="16" t="s">
        <v>5416</v>
      </c>
      <c r="R1497" s="17" t="s">
        <v>5417</v>
      </c>
      <c r="S1497" s="12"/>
      <c r="T1497" s="12"/>
      <c r="U1497" s="10" t="str">
        <f>HYPERLINK("https://pbs.twimg.com/profile_images/1051127391291105280/RYohfU97.jpg","View")</f>
        <v>View</v>
      </c>
    </row>
    <row r="1498" spans="1:21" ht="40.799999999999997">
      <c r="A1498" s="6">
        <v>43441.345625000002</v>
      </c>
      <c r="B1498" s="7" t="str">
        <f>HYPERLINK("https://twitter.com/Sanfermin00","@Sanfermin00")</f>
        <v>@Sanfermin00</v>
      </c>
      <c r="C1498" s="8" t="s">
        <v>3942</v>
      </c>
      <c r="D1498" s="9" t="s">
        <v>5418</v>
      </c>
      <c r="E1498" s="10" t="str">
        <f>HYPERLINK("https://twitter.com/Sanfermin00/status/1070940399244636160","1070940399244636160")</f>
        <v>1070940399244636160</v>
      </c>
      <c r="F1498" s="11" t="s">
        <v>5419</v>
      </c>
      <c r="G1498" s="12"/>
      <c r="H1498" s="12"/>
      <c r="I1498" s="13">
        <v>0</v>
      </c>
      <c r="J1498" s="13">
        <v>0</v>
      </c>
      <c r="K1498" s="14" t="str">
        <f>HYPERLINK("http://twitter.com","Twitter Web Client")</f>
        <v>Twitter Web Client</v>
      </c>
      <c r="L1498" s="13">
        <v>16528</v>
      </c>
      <c r="M1498" s="13">
        <v>13714</v>
      </c>
      <c r="N1498" s="13">
        <v>122</v>
      </c>
      <c r="O1498" s="15"/>
      <c r="P1498" s="6">
        <v>42362.637083333335</v>
      </c>
      <c r="Q1498" s="16" t="s">
        <v>3945</v>
      </c>
      <c r="R1498" s="17" t="s">
        <v>3946</v>
      </c>
      <c r="S1498" s="11" t="s">
        <v>3947</v>
      </c>
      <c r="T1498" s="12"/>
      <c r="U1498" s="10" t="str">
        <f>HYPERLINK("https://pbs.twimg.com/profile_images/1064102923624480768/j11dV2-u.jpg","View")</f>
        <v>View</v>
      </c>
    </row>
    <row r="1499" spans="1:21" ht="40.799999999999997">
      <c r="A1499" s="6">
        <v>43441.345613425925</v>
      </c>
      <c r="B1499" s="7" t="str">
        <f>HYPERLINK("https://twitter.com/jaimejvidal","@jaimejvidal")</f>
        <v>@jaimejvidal</v>
      </c>
      <c r="C1499" s="8" t="s">
        <v>5409</v>
      </c>
      <c r="D1499" s="9" t="s">
        <v>2428</v>
      </c>
      <c r="E1499" s="10" t="str">
        <f>HYPERLINK("https://twitter.com/jaimejvidal/status/1070940394723205120","1070940394723205120")</f>
        <v>1070940394723205120</v>
      </c>
      <c r="F1499" s="11" t="s">
        <v>246</v>
      </c>
      <c r="G1499" s="12"/>
      <c r="H1499" s="12"/>
      <c r="I1499" s="13">
        <v>0</v>
      </c>
      <c r="J1499" s="13">
        <v>0</v>
      </c>
      <c r="K1499" s="14" t="str">
        <f t="shared" ref="K1499:K1501" si="257">HYPERLINK("http://twitter.com/download/android","Twitter for Android")</f>
        <v>Twitter for Android</v>
      </c>
      <c r="L1499" s="13">
        <v>190</v>
      </c>
      <c r="M1499" s="13">
        <v>629</v>
      </c>
      <c r="N1499" s="13">
        <v>2</v>
      </c>
      <c r="O1499" s="15"/>
      <c r="P1499" s="6">
        <v>42165.479432870372</v>
      </c>
      <c r="Q1499" s="12"/>
      <c r="R1499" s="17" t="s">
        <v>5410</v>
      </c>
      <c r="S1499" s="12"/>
      <c r="T1499" s="12"/>
      <c r="U1499" s="10" t="str">
        <f>HYPERLINK("https://pbs.twimg.com/profile_images/608746571438649345/f6GeDGfF.jpg","View")</f>
        <v>View</v>
      </c>
    </row>
    <row r="1500" spans="1:21" ht="40.799999999999997">
      <c r="A1500" s="6">
        <v>43441.345451388886</v>
      </c>
      <c r="B1500" s="7" t="str">
        <f>HYPERLINK("https://twitter.com/daniro_asensio","@daniro_asensio")</f>
        <v>@daniro_asensio</v>
      </c>
      <c r="C1500" s="8" t="s">
        <v>3123</v>
      </c>
      <c r="D1500" s="9" t="s">
        <v>5420</v>
      </c>
      <c r="E1500" s="10" t="str">
        <f>HYPERLINK("https://twitter.com/daniro_asensio/status/1070940333922496513","1070940333922496513")</f>
        <v>1070940333922496513</v>
      </c>
      <c r="F1500" s="11" t="s">
        <v>115</v>
      </c>
      <c r="G1500" s="12"/>
      <c r="H1500" s="12"/>
      <c r="I1500" s="13">
        <v>6</v>
      </c>
      <c r="J1500" s="13">
        <v>2</v>
      </c>
      <c r="K1500" s="14" t="str">
        <f t="shared" si="257"/>
        <v>Twitter for Android</v>
      </c>
      <c r="L1500" s="13">
        <v>1286</v>
      </c>
      <c r="M1500" s="13">
        <v>531</v>
      </c>
      <c r="N1500" s="13">
        <v>26</v>
      </c>
      <c r="O1500" s="15"/>
      <c r="P1500" s="6">
        <v>40902.037685185183</v>
      </c>
      <c r="Q1500" s="12"/>
      <c r="R1500" s="17" t="s">
        <v>3126</v>
      </c>
      <c r="S1500" s="11" t="s">
        <v>3127</v>
      </c>
      <c r="T1500" s="12"/>
      <c r="U1500" s="10" t="str">
        <f>HYPERLINK("https://pbs.twimg.com/profile_images/1013521506452766720/7JWmhl47.jpg","View")</f>
        <v>View</v>
      </c>
    </row>
    <row r="1501" spans="1:21" ht="30.6">
      <c r="A1501" s="6">
        <v>43441.344293981485</v>
      </c>
      <c r="B1501" s="7" t="str">
        <f>HYPERLINK("https://twitter.com/bepadgil","@bepadgil")</f>
        <v>@bepadgil</v>
      </c>
      <c r="C1501" s="8" t="s">
        <v>63</v>
      </c>
      <c r="D1501" s="9" t="s">
        <v>5421</v>
      </c>
      <c r="E1501" s="10" t="str">
        <f>HYPERLINK("https://twitter.com/bepadgil/status/1070939917109338113","1070939917109338113")</f>
        <v>1070939917109338113</v>
      </c>
      <c r="F1501" s="12"/>
      <c r="G1501" s="12"/>
      <c r="H1501" s="12"/>
      <c r="I1501" s="13">
        <v>0</v>
      </c>
      <c r="J1501" s="13">
        <v>0</v>
      </c>
      <c r="K1501" s="14" t="str">
        <f t="shared" si="257"/>
        <v>Twitter for Android</v>
      </c>
      <c r="L1501" s="13">
        <v>22</v>
      </c>
      <c r="M1501" s="13">
        <v>95</v>
      </c>
      <c r="N1501" s="13">
        <v>1</v>
      </c>
      <c r="O1501" s="15"/>
      <c r="P1501" s="6">
        <v>42285.805462962962</v>
      </c>
      <c r="Q1501" s="12"/>
      <c r="R1501" s="19"/>
      <c r="S1501" s="12"/>
      <c r="T1501" s="12"/>
      <c r="U1501" s="18" t="s">
        <v>67</v>
      </c>
    </row>
    <row r="1502" spans="1:21" ht="51">
      <c r="A1502" s="6">
        <v>43441.344293981485</v>
      </c>
      <c r="B1502" s="7" t="str">
        <f>HYPERLINK("https://twitter.com/eventosmadrid","@eventosmadrid")</f>
        <v>@eventosmadrid</v>
      </c>
      <c r="C1502" s="8" t="s">
        <v>2290</v>
      </c>
      <c r="D1502" s="9" t="s">
        <v>4954</v>
      </c>
      <c r="E1502" s="10" t="str">
        <f>HYPERLINK("https://twitter.com/eventosmadrid/status/1070939913183318017","1070939913183318017")</f>
        <v>1070939913183318017</v>
      </c>
      <c r="F1502" s="11" t="s">
        <v>5422</v>
      </c>
      <c r="G1502" s="11" t="s">
        <v>5423</v>
      </c>
      <c r="H1502" s="12"/>
      <c r="I1502" s="13">
        <v>0</v>
      </c>
      <c r="J1502" s="13">
        <v>0</v>
      </c>
      <c r="K1502" s="14" t="str">
        <f>HYPERLINK("https://dlvrit.com/","dlvr.it")</f>
        <v>dlvr.it</v>
      </c>
      <c r="L1502" s="13">
        <v>6782</v>
      </c>
      <c r="M1502" s="13">
        <v>4865</v>
      </c>
      <c r="N1502" s="13">
        <v>237</v>
      </c>
      <c r="O1502" s="15"/>
      <c r="P1502" s="6">
        <v>40619.348819444444</v>
      </c>
      <c r="Q1502" s="16" t="s">
        <v>200</v>
      </c>
      <c r="R1502" s="17" t="s">
        <v>2294</v>
      </c>
      <c r="S1502" s="12"/>
      <c r="T1502" s="12"/>
      <c r="U1502" s="10" t="str">
        <f>HYPERLINK("https://pbs.twimg.com/profile_images/1471313774/rock_rio_madrid.jpeg","View")</f>
        <v>View</v>
      </c>
    </row>
    <row r="1503" spans="1:21" ht="30.6">
      <c r="A1503" s="6">
        <v>43441.34375</v>
      </c>
      <c r="B1503" s="7" t="str">
        <f>HYPERLINK("https://twitter.com/publico_es","@publico_es")</f>
        <v>@publico_es</v>
      </c>
      <c r="C1503" s="8" t="s">
        <v>2386</v>
      </c>
      <c r="D1503" s="9" t="s">
        <v>5424</v>
      </c>
      <c r="E1503" s="10" t="str">
        <f>HYPERLINK("https://twitter.com/publico_es/status/1070939717066121216","1070939717066121216")</f>
        <v>1070939717066121216</v>
      </c>
      <c r="F1503" s="11" t="s">
        <v>5425</v>
      </c>
      <c r="G1503" s="12"/>
      <c r="H1503" s="12"/>
      <c r="I1503" s="13">
        <v>19</v>
      </c>
      <c r="J1503" s="13">
        <v>37</v>
      </c>
      <c r="K1503" s="14" t="str">
        <f>HYPERLINK("https://about.twitter.com/products/tweetdeck","TweetDeck")</f>
        <v>TweetDeck</v>
      </c>
      <c r="L1503" s="13">
        <v>913667</v>
      </c>
      <c r="M1503" s="13">
        <v>1457</v>
      </c>
      <c r="N1503" s="13">
        <v>14850</v>
      </c>
      <c r="O1503" s="18" t="s">
        <v>41</v>
      </c>
      <c r="P1503" s="6">
        <v>39779.559525462959</v>
      </c>
      <c r="Q1503" s="16" t="s">
        <v>1408</v>
      </c>
      <c r="R1503" s="17" t="s">
        <v>2389</v>
      </c>
      <c r="S1503" s="11" t="s">
        <v>2390</v>
      </c>
      <c r="T1503" s="12"/>
      <c r="U1503" s="10" t="str">
        <f>HYPERLINK("https://pbs.twimg.com/profile_images/1048242435682422786/FdzZWHU8.jpg","View")</f>
        <v>View</v>
      </c>
    </row>
    <row r="1504" spans="1:21" ht="40.799999999999997">
      <c r="A1504" s="6">
        <v>43441.340474537035</v>
      </c>
      <c r="B1504" s="7" t="str">
        <f>HYPERLINK("https://twitter.com/Sanfermin00","@Sanfermin00")</f>
        <v>@Sanfermin00</v>
      </c>
      <c r="C1504" s="8" t="s">
        <v>3942</v>
      </c>
      <c r="D1504" s="9" t="s">
        <v>5426</v>
      </c>
      <c r="E1504" s="10" t="str">
        <f>HYPERLINK("https://twitter.com/Sanfermin00/status/1070938530711519232","1070938530711519232")</f>
        <v>1070938530711519232</v>
      </c>
      <c r="F1504" s="11" t="s">
        <v>5427</v>
      </c>
      <c r="G1504" s="12"/>
      <c r="H1504" s="12"/>
      <c r="I1504" s="13">
        <v>0</v>
      </c>
      <c r="J1504" s="13">
        <v>0</v>
      </c>
      <c r="K1504" s="14" t="str">
        <f>HYPERLINK("http://twitter.com","Twitter Web Client")</f>
        <v>Twitter Web Client</v>
      </c>
      <c r="L1504" s="13">
        <v>16528</v>
      </c>
      <c r="M1504" s="13">
        <v>13714</v>
      </c>
      <c r="N1504" s="13">
        <v>122</v>
      </c>
      <c r="O1504" s="15"/>
      <c r="P1504" s="6">
        <v>42362.637083333335</v>
      </c>
      <c r="Q1504" s="16" t="s">
        <v>3945</v>
      </c>
      <c r="R1504" s="17" t="s">
        <v>3946</v>
      </c>
      <c r="S1504" s="11" t="s">
        <v>3947</v>
      </c>
      <c r="T1504" s="12"/>
      <c r="U1504" s="10" t="str">
        <f>HYPERLINK("https://pbs.twimg.com/profile_images/1064102923624480768/j11dV2-u.jpg","View")</f>
        <v>View</v>
      </c>
    </row>
    <row r="1505" spans="1:21" ht="51">
      <c r="A1505" s="6">
        <v>43441.340266203704</v>
      </c>
      <c r="B1505" s="7" t="str">
        <f>HYPERLINK("https://twitter.com/LasMananas_rne","@LasMananas_rne")</f>
        <v>@LasMananas_rne</v>
      </c>
      <c r="C1505" s="8" t="s">
        <v>5428</v>
      </c>
      <c r="D1505" s="9" t="s">
        <v>5429</v>
      </c>
      <c r="E1505" s="10" t="str">
        <f>HYPERLINK("https://twitter.com/LasMananas_rne/status/1070938457206345729","1070938457206345729")</f>
        <v>1070938457206345729</v>
      </c>
      <c r="F1505" s="11" t="s">
        <v>5430</v>
      </c>
      <c r="G1505" s="11" t="s">
        <v>5431</v>
      </c>
      <c r="H1505" s="12"/>
      <c r="I1505" s="13">
        <v>1</v>
      </c>
      <c r="J1505" s="13">
        <v>0</v>
      </c>
      <c r="K1505" s="14" t="str">
        <f>HYPERLINK("https://about.twitter.com/products/tweetdeck","TweetDeck")</f>
        <v>TweetDeck</v>
      </c>
      <c r="L1505" s="13">
        <v>17833</v>
      </c>
      <c r="M1505" s="13">
        <v>579</v>
      </c>
      <c r="N1505" s="13">
        <v>325</v>
      </c>
      <c r="O1505" s="15"/>
      <c r="P1505" s="6">
        <v>41516.791238425925</v>
      </c>
      <c r="Q1505" s="16" t="s">
        <v>200</v>
      </c>
      <c r="R1505" s="17" t="s">
        <v>5432</v>
      </c>
      <c r="S1505" s="11" t="s">
        <v>5433</v>
      </c>
      <c r="T1505" s="12"/>
      <c r="U1505" s="10" t="str">
        <f>HYPERLINK("https://pbs.twimg.com/profile_images/1040196438595129346/t62gpiGh.jpg","View")</f>
        <v>View</v>
      </c>
    </row>
    <row r="1506" spans="1:21" ht="20.399999999999999">
      <c r="A1506" s="6">
        <v>43441.338761574079</v>
      </c>
      <c r="B1506" s="7" t="str">
        <f t="shared" ref="B1506:B1507" si="258">HYPERLINK("https://twitter.com/cayetanosanch","@cayetanosanch")</f>
        <v>@cayetanosanch</v>
      </c>
      <c r="C1506" s="8" t="s">
        <v>5434</v>
      </c>
      <c r="D1506" s="9" t="s">
        <v>5435</v>
      </c>
      <c r="E1506" s="10" t="str">
        <f>HYPERLINK("https://twitter.com/cayetanosanch/status/1070937909220532225","1070937909220532225")</f>
        <v>1070937909220532225</v>
      </c>
      <c r="F1506" s="11" t="s">
        <v>5436</v>
      </c>
      <c r="G1506" s="12"/>
      <c r="H1506" s="12"/>
      <c r="I1506" s="13">
        <v>0</v>
      </c>
      <c r="J1506" s="13">
        <v>0</v>
      </c>
      <c r="K1506" s="14" t="str">
        <f t="shared" ref="K1506:K1507" si="259">HYPERLINK("https://www.google.com/","Google")</f>
        <v>Google</v>
      </c>
      <c r="L1506" s="13">
        <v>34</v>
      </c>
      <c r="M1506" s="13">
        <v>92</v>
      </c>
      <c r="N1506" s="13">
        <v>0</v>
      </c>
      <c r="O1506" s="15"/>
      <c r="P1506" s="6">
        <v>41838.378310185188</v>
      </c>
      <c r="Q1506" s="16" t="s">
        <v>367</v>
      </c>
      <c r="R1506" s="19"/>
      <c r="S1506" s="12"/>
      <c r="T1506" s="12"/>
      <c r="U1506" s="10" t="str">
        <f t="shared" ref="U1506:U1507" si="260">HYPERLINK("https://pbs.twimg.com/profile_images/1032018359989223428/LtHyU_U7.jpg","View")</f>
        <v>View</v>
      </c>
    </row>
    <row r="1507" spans="1:21" ht="20.399999999999999">
      <c r="A1507" s="6">
        <v>43441.338738425926</v>
      </c>
      <c r="B1507" s="7" t="str">
        <f t="shared" si="258"/>
        <v>@cayetanosanch</v>
      </c>
      <c r="C1507" s="8" t="s">
        <v>5434</v>
      </c>
      <c r="D1507" s="9" t="s">
        <v>5437</v>
      </c>
      <c r="E1507" s="10" t="str">
        <f>HYPERLINK("https://twitter.com/cayetanosanch/status/1070937901473689600","1070937901473689600")</f>
        <v>1070937901473689600</v>
      </c>
      <c r="F1507" s="11" t="s">
        <v>5436</v>
      </c>
      <c r="G1507" s="12"/>
      <c r="H1507" s="12"/>
      <c r="I1507" s="13">
        <v>0</v>
      </c>
      <c r="J1507" s="13">
        <v>1</v>
      </c>
      <c r="K1507" s="14" t="str">
        <f t="shared" si="259"/>
        <v>Google</v>
      </c>
      <c r="L1507" s="13">
        <v>34</v>
      </c>
      <c r="M1507" s="13">
        <v>92</v>
      </c>
      <c r="N1507" s="13">
        <v>0</v>
      </c>
      <c r="O1507" s="15"/>
      <c r="P1507" s="6">
        <v>41838.378310185188</v>
      </c>
      <c r="Q1507" s="16" t="s">
        <v>367</v>
      </c>
      <c r="R1507" s="19"/>
      <c r="S1507" s="12"/>
      <c r="T1507" s="12"/>
      <c r="U1507" s="10" t="str">
        <f t="shared" si="260"/>
        <v>View</v>
      </c>
    </row>
    <row r="1508" spans="1:21" ht="20.399999999999999">
      <c r="A1508" s="6">
        <v>43441.338599537034</v>
      </c>
      <c r="B1508" s="7" t="str">
        <f>HYPERLINK("https://twitter.com/Mbelengarc","@Mbelengarc")</f>
        <v>@Mbelengarc</v>
      </c>
      <c r="C1508" s="8" t="s">
        <v>5438</v>
      </c>
      <c r="D1508" s="9" t="s">
        <v>5439</v>
      </c>
      <c r="E1508" s="10" t="str">
        <f>HYPERLINK("https://twitter.com/Mbelengarc/status/1070937851179745280","1070937851179745280")</f>
        <v>1070937851179745280</v>
      </c>
      <c r="F1508" s="11" t="s">
        <v>3500</v>
      </c>
      <c r="G1508" s="12"/>
      <c r="H1508" s="12"/>
      <c r="I1508" s="13">
        <v>2</v>
      </c>
      <c r="J1508" s="13">
        <v>0</v>
      </c>
      <c r="K1508" s="14" t="str">
        <f>HYPERLINK("http://twitter.com/download/iphone","Twitter for iPhone")</f>
        <v>Twitter for iPhone</v>
      </c>
      <c r="L1508" s="13">
        <v>244</v>
      </c>
      <c r="M1508" s="13">
        <v>97</v>
      </c>
      <c r="N1508" s="13">
        <v>4</v>
      </c>
      <c r="O1508" s="15"/>
      <c r="P1508" s="6">
        <v>41334.691886574074</v>
      </c>
      <c r="Q1508" s="16" t="s">
        <v>5440</v>
      </c>
      <c r="R1508" s="17" t="s">
        <v>5441</v>
      </c>
      <c r="S1508" s="12"/>
      <c r="T1508" s="12"/>
      <c r="U1508" s="10" t="str">
        <f>HYPERLINK("https://pbs.twimg.com/profile_images/974626606340820992/VspSf_uu.jpg","View")</f>
        <v>View</v>
      </c>
    </row>
    <row r="1509" spans="1:21" ht="30.6">
      <c r="A1509" s="6">
        <v>43441.338321759264</v>
      </c>
      <c r="B1509" s="7" t="str">
        <f>HYPERLINK("https://twitter.com/Charran_Esp","@Charran_Esp")</f>
        <v>@Charran_Esp</v>
      </c>
      <c r="C1509" s="8" t="s">
        <v>5442</v>
      </c>
      <c r="D1509" s="9" t="s">
        <v>5443</v>
      </c>
      <c r="E1509" s="10" t="str">
        <f>HYPERLINK("https://twitter.com/Charran_Esp/status/1070937749958602752","1070937749958602752")</f>
        <v>1070937749958602752</v>
      </c>
      <c r="F1509" s="11" t="s">
        <v>689</v>
      </c>
      <c r="G1509" s="12"/>
      <c r="H1509" s="12"/>
      <c r="I1509" s="13">
        <v>0</v>
      </c>
      <c r="J1509" s="13">
        <v>0</v>
      </c>
      <c r="K1509" s="14" t="str">
        <f>HYPERLINK("https://ifttt.com","IFTTT")</f>
        <v>IFTTT</v>
      </c>
      <c r="L1509" s="13">
        <v>62</v>
      </c>
      <c r="M1509" s="13">
        <v>71</v>
      </c>
      <c r="N1509" s="13">
        <v>0</v>
      </c>
      <c r="O1509" s="15"/>
      <c r="P1509" s="6">
        <v>42915.451712962968</v>
      </c>
      <c r="Q1509" s="16" t="s">
        <v>60</v>
      </c>
      <c r="R1509" s="17" t="s">
        <v>5444</v>
      </c>
      <c r="S1509" s="12"/>
      <c r="T1509" s="12"/>
      <c r="U1509" s="10" t="str">
        <f>HYPERLINK("https://pbs.twimg.com/profile_images/880349188244078592/vsdcBU4x.jpg","View")</f>
        <v>View</v>
      </c>
    </row>
    <row r="1510" spans="1:21" ht="40.799999999999997">
      <c r="A1510" s="6">
        <v>43441.338263888887</v>
      </c>
      <c r="B1510" s="7" t="str">
        <f>HYPERLINK("https://twitter.com/RamonTrivino","@RamonTrivino")</f>
        <v>@RamonTrivino</v>
      </c>
      <c r="C1510" s="8" t="s">
        <v>5445</v>
      </c>
      <c r="D1510" s="9" t="s">
        <v>5446</v>
      </c>
      <c r="E1510" s="10" t="str">
        <f>HYPERLINK("https://twitter.com/RamonTrivino/status/1070937730660614144","1070937730660614144")</f>
        <v>1070937730660614144</v>
      </c>
      <c r="F1510" s="11" t="s">
        <v>3561</v>
      </c>
      <c r="G1510" s="12"/>
      <c r="H1510" s="12"/>
      <c r="I1510" s="13">
        <v>0</v>
      </c>
      <c r="J1510" s="13">
        <v>0</v>
      </c>
      <c r="K1510" s="14" t="str">
        <f t="shared" ref="K1510:K1513" si="261">HYPERLINK("http://twitter.com","Twitter Web Client")</f>
        <v>Twitter Web Client</v>
      </c>
      <c r="L1510" s="13">
        <v>1582</v>
      </c>
      <c r="M1510" s="13">
        <v>767</v>
      </c>
      <c r="N1510" s="13">
        <v>38</v>
      </c>
      <c r="O1510" s="15"/>
      <c r="P1510" s="6">
        <v>40640.568657407406</v>
      </c>
      <c r="Q1510" s="16" t="s">
        <v>60</v>
      </c>
      <c r="R1510" s="17" t="s">
        <v>5447</v>
      </c>
      <c r="S1510" s="16" t="s">
        <v>5448</v>
      </c>
      <c r="T1510" s="12"/>
      <c r="U1510" s="10" t="str">
        <f>HYPERLINK("https://pbs.twimg.com/profile_images/934117912494985218/iDOzl85e.jpg","View")</f>
        <v>View</v>
      </c>
    </row>
    <row r="1511" spans="1:21" ht="40.799999999999997">
      <c r="A1511" s="6">
        <v>43441.337870370371</v>
      </c>
      <c r="B1511" s="7" t="str">
        <f t="shared" ref="B1511:B1512" si="262">HYPERLINK("https://twitter.com/Sanfermin00","@Sanfermin00")</f>
        <v>@Sanfermin00</v>
      </c>
      <c r="C1511" s="8" t="s">
        <v>3942</v>
      </c>
      <c r="D1511" s="9" t="s">
        <v>1903</v>
      </c>
      <c r="E1511" s="10" t="str">
        <f>HYPERLINK("https://twitter.com/Sanfermin00/status/1070937585449623552","1070937585449623552")</f>
        <v>1070937585449623552</v>
      </c>
      <c r="F1511" s="11" t="s">
        <v>3561</v>
      </c>
      <c r="G1511" s="12"/>
      <c r="H1511" s="12"/>
      <c r="I1511" s="13">
        <v>0</v>
      </c>
      <c r="J1511" s="13">
        <v>0</v>
      </c>
      <c r="K1511" s="14" t="str">
        <f t="shared" si="261"/>
        <v>Twitter Web Client</v>
      </c>
      <c r="L1511" s="13">
        <v>16528</v>
      </c>
      <c r="M1511" s="13">
        <v>13714</v>
      </c>
      <c r="N1511" s="13">
        <v>122</v>
      </c>
      <c r="O1511" s="15"/>
      <c r="P1511" s="6">
        <v>42362.637083333335</v>
      </c>
      <c r="Q1511" s="16" t="s">
        <v>3945</v>
      </c>
      <c r="R1511" s="17" t="s">
        <v>3946</v>
      </c>
      <c r="S1511" s="11" t="s">
        <v>3947</v>
      </c>
      <c r="T1511" s="12"/>
      <c r="U1511" s="10" t="str">
        <f t="shared" ref="U1511:U1512" si="263">HYPERLINK("https://pbs.twimg.com/profile_images/1064102923624480768/j11dV2-u.jpg","View")</f>
        <v>View</v>
      </c>
    </row>
    <row r="1512" spans="1:21" ht="40.799999999999997">
      <c r="A1512" s="6">
        <v>43441.337789351848</v>
      </c>
      <c r="B1512" s="7" t="str">
        <f t="shared" si="262"/>
        <v>@Sanfermin00</v>
      </c>
      <c r="C1512" s="8" t="s">
        <v>3942</v>
      </c>
      <c r="D1512" s="9" t="s">
        <v>4198</v>
      </c>
      <c r="E1512" s="10" t="str">
        <f>HYPERLINK("https://twitter.com/Sanfermin00/status/1070937556588613632","1070937556588613632")</f>
        <v>1070937556588613632</v>
      </c>
      <c r="F1512" s="11" t="s">
        <v>3534</v>
      </c>
      <c r="G1512" s="12"/>
      <c r="H1512" s="12"/>
      <c r="I1512" s="13">
        <v>0</v>
      </c>
      <c r="J1512" s="13">
        <v>1</v>
      </c>
      <c r="K1512" s="14" t="str">
        <f t="shared" si="261"/>
        <v>Twitter Web Client</v>
      </c>
      <c r="L1512" s="13">
        <v>16528</v>
      </c>
      <c r="M1512" s="13">
        <v>13714</v>
      </c>
      <c r="N1512" s="13">
        <v>122</v>
      </c>
      <c r="O1512" s="15"/>
      <c r="P1512" s="6">
        <v>42362.637083333335</v>
      </c>
      <c r="Q1512" s="16" t="s">
        <v>3945</v>
      </c>
      <c r="R1512" s="17" t="s">
        <v>3946</v>
      </c>
      <c r="S1512" s="11" t="s">
        <v>3947</v>
      </c>
      <c r="T1512" s="12"/>
      <c r="U1512" s="10" t="str">
        <f t="shared" si="263"/>
        <v>View</v>
      </c>
    </row>
    <row r="1513" spans="1:21" ht="40.799999999999997">
      <c r="A1513" s="6">
        <v>43441.33761574074</v>
      </c>
      <c r="B1513" s="7" t="str">
        <f>HYPERLINK("https://twitter.com/ESdiario_com","@ESdiario_com")</f>
        <v>@ESdiario_com</v>
      </c>
      <c r="C1513" s="8" t="s">
        <v>5449</v>
      </c>
      <c r="D1513" s="9" t="s">
        <v>5450</v>
      </c>
      <c r="E1513" s="10" t="str">
        <f>HYPERLINK("https://twitter.com/ESdiario_com/status/1070937495142064128","1070937495142064128")</f>
        <v>1070937495142064128</v>
      </c>
      <c r="F1513" s="11" t="s">
        <v>689</v>
      </c>
      <c r="G1513" s="12"/>
      <c r="H1513" s="12"/>
      <c r="I1513" s="13">
        <v>6</v>
      </c>
      <c r="J1513" s="13">
        <v>4</v>
      </c>
      <c r="K1513" s="14" t="str">
        <f t="shared" si="261"/>
        <v>Twitter Web Client</v>
      </c>
      <c r="L1513" s="13">
        <v>30936</v>
      </c>
      <c r="M1513" s="13">
        <v>707</v>
      </c>
      <c r="N1513" s="13">
        <v>497</v>
      </c>
      <c r="O1513" s="15"/>
      <c r="P1513" s="6">
        <v>40584.500949074078</v>
      </c>
      <c r="Q1513" s="16" t="s">
        <v>133</v>
      </c>
      <c r="R1513" s="17" t="s">
        <v>5452</v>
      </c>
      <c r="S1513" s="11" t="s">
        <v>5453</v>
      </c>
      <c r="T1513" s="12"/>
      <c r="U1513" s="10" t="str">
        <f>HYPERLINK("https://pbs.twimg.com/profile_images/708363281308753920/7qh3akOb.jpg","View")</f>
        <v>View</v>
      </c>
    </row>
    <row r="1514" spans="1:21" ht="20.399999999999999">
      <c r="A1514" s="6">
        <v>43441.33761574074</v>
      </c>
      <c r="B1514" s="7" t="str">
        <f>HYPERLINK("https://twitter.com/NotiAdictos","@NotiAdictos")</f>
        <v>@NotiAdictos</v>
      </c>
      <c r="C1514" s="8" t="s">
        <v>770</v>
      </c>
      <c r="D1514" s="9" t="s">
        <v>3001</v>
      </c>
      <c r="E1514" s="10" t="str">
        <f>HYPERLINK("https://twitter.com/NotiAdictos/status/1070937494609428480","1070937494609428480")</f>
        <v>1070937494609428480</v>
      </c>
      <c r="F1514" s="11" t="s">
        <v>3688</v>
      </c>
      <c r="G1514" s="11" t="s">
        <v>5454</v>
      </c>
      <c r="H1514" s="12"/>
      <c r="I1514" s="13">
        <v>0</v>
      </c>
      <c r="J1514" s="13">
        <v>0</v>
      </c>
      <c r="K1514" s="14" t="str">
        <f>HYPERLINK("http://epmundo.com","Tuiteo TOP EP (3)")</f>
        <v>Tuiteo TOP EP (3)</v>
      </c>
      <c r="L1514" s="13">
        <v>51774</v>
      </c>
      <c r="M1514" s="13">
        <v>52978</v>
      </c>
      <c r="N1514" s="13">
        <v>133</v>
      </c>
      <c r="O1514" s="15"/>
      <c r="P1514" s="6">
        <v>42166.14534722222</v>
      </c>
      <c r="Q1514" s="12"/>
      <c r="R1514" s="17" t="s">
        <v>772</v>
      </c>
      <c r="S1514" s="12"/>
      <c r="T1514" s="12"/>
      <c r="U1514" s="10" t="str">
        <f>HYPERLINK("https://pbs.twimg.com/profile_images/913079381358243842/XvuFiomi.jpg","View")</f>
        <v>View</v>
      </c>
    </row>
    <row r="1515" spans="1:21" ht="30.6">
      <c r="A1515" s="6">
        <v>43441.337430555555</v>
      </c>
      <c r="B1515" s="7" t="str">
        <f>HYPERLINK("https://twitter.com/2011pau","@2011pau")</f>
        <v>@2011pau</v>
      </c>
      <c r="C1515" s="8" t="s">
        <v>5455</v>
      </c>
      <c r="D1515" s="9" t="s">
        <v>5456</v>
      </c>
      <c r="E1515" s="10" t="str">
        <f>HYPERLINK("https://twitter.com/2011pau/status/1070937427760594944","1070937427760594944")</f>
        <v>1070937427760594944</v>
      </c>
      <c r="F1515" s="11" t="s">
        <v>5457</v>
      </c>
      <c r="G1515" s="11" t="s">
        <v>5458</v>
      </c>
      <c r="H1515" s="12"/>
      <c r="I1515" s="13">
        <v>36</v>
      </c>
      <c r="J1515" s="13">
        <v>28</v>
      </c>
      <c r="K1515" s="14" t="str">
        <f>HYPERLINK("http://twitter.com/download/android","Twitter for Android")</f>
        <v>Twitter for Android</v>
      </c>
      <c r="L1515" s="13">
        <v>2691</v>
      </c>
      <c r="M1515" s="13">
        <v>1114</v>
      </c>
      <c r="N1515" s="13">
        <v>36</v>
      </c>
      <c r="O1515" s="15"/>
      <c r="P1515" s="6">
        <v>40606.944050925929</v>
      </c>
      <c r="Q1515" s="16" t="s">
        <v>5459</v>
      </c>
      <c r="R1515" s="17" t="s">
        <v>5460</v>
      </c>
      <c r="S1515" s="12"/>
      <c r="T1515" s="12"/>
      <c r="U1515" s="10" t="str">
        <f>HYPERLINK("https://pbs.twimg.com/profile_images/993219106680778752/R9FD392q.jpg","View")</f>
        <v>View</v>
      </c>
    </row>
    <row r="1516" spans="1:21" ht="20.399999999999999">
      <c r="A1516" s="6">
        <v>43441.336319444439</v>
      </c>
      <c r="B1516" s="7" t="str">
        <f>HYPERLINK("https://twitter.com/LuisCarlos17f","@LuisCarlos17f")</f>
        <v>@LuisCarlos17f</v>
      </c>
      <c r="C1516" s="8" t="s">
        <v>5461</v>
      </c>
      <c r="D1516" s="9" t="s">
        <v>5018</v>
      </c>
      <c r="E1516" s="10" t="str">
        <f>HYPERLINK("https://twitter.com/LuisCarlos17f/status/1070937025484857344","1070937025484857344")</f>
        <v>1070937025484857344</v>
      </c>
      <c r="F1516" s="11" t="s">
        <v>115</v>
      </c>
      <c r="G1516" s="12"/>
      <c r="H1516" s="12"/>
      <c r="I1516" s="13">
        <v>0</v>
      </c>
      <c r="J1516" s="13">
        <v>0</v>
      </c>
      <c r="K1516" s="14" t="str">
        <f>HYPERLINK("http://twitter.com","Twitter Web Client")</f>
        <v>Twitter Web Client</v>
      </c>
      <c r="L1516" s="13">
        <v>330</v>
      </c>
      <c r="M1516" s="13">
        <v>1080</v>
      </c>
      <c r="N1516" s="13">
        <v>3</v>
      </c>
      <c r="O1516" s="15"/>
      <c r="P1516" s="6">
        <v>42913.69803240741</v>
      </c>
      <c r="Q1516" s="16" t="s">
        <v>5462</v>
      </c>
      <c r="R1516" s="19"/>
      <c r="S1516" s="12"/>
      <c r="T1516" s="12"/>
      <c r="U1516" s="10" t="str">
        <f>HYPERLINK("https://pbs.twimg.com/profile_images/880094856810463232/MN4WBge2.jpg","View")</f>
        <v>View</v>
      </c>
    </row>
    <row r="1517" spans="1:21" ht="30.6">
      <c r="A1517" s="6">
        <v>43441.336180555554</v>
      </c>
      <c r="B1517" s="7" t="str">
        <f>HYPERLINK("https://twitter.com/Liverdades","@Liverdades")</f>
        <v>@Liverdades</v>
      </c>
      <c r="C1517" s="8" t="s">
        <v>5463</v>
      </c>
      <c r="D1517" s="9" t="s">
        <v>1903</v>
      </c>
      <c r="E1517" s="10" t="str">
        <f>HYPERLINK("https://twitter.com/Liverdades/status/1070936972837810177","1070936972837810177")</f>
        <v>1070936972837810177</v>
      </c>
      <c r="F1517" s="11" t="s">
        <v>5464</v>
      </c>
      <c r="G1517" s="11" t="s">
        <v>5465</v>
      </c>
      <c r="H1517" s="12"/>
      <c r="I1517" s="13">
        <v>0</v>
      </c>
      <c r="J1517" s="13">
        <v>0</v>
      </c>
      <c r="K1517" s="14" t="str">
        <f>HYPERLINK("https://dlvrit.com/","dlvr.it")</f>
        <v>dlvr.it</v>
      </c>
      <c r="L1517" s="13">
        <v>3503</v>
      </c>
      <c r="M1517" s="13">
        <v>3470</v>
      </c>
      <c r="N1517" s="13">
        <v>68</v>
      </c>
      <c r="O1517" s="15"/>
      <c r="P1517" s="6">
        <v>41743.492881944447</v>
      </c>
      <c r="Q1517" s="16" t="s">
        <v>85</v>
      </c>
      <c r="R1517" s="17" t="s">
        <v>5466</v>
      </c>
      <c r="S1517" s="11" t="s">
        <v>5467</v>
      </c>
      <c r="T1517" s="12"/>
      <c r="U1517" s="10" t="str">
        <f>HYPERLINK("https://pbs.twimg.com/profile_images/685407826445996032/eVcXWMVo.png","View")</f>
        <v>View</v>
      </c>
    </row>
    <row r="1518" spans="1:21" ht="40.799999999999997">
      <c r="A1518" s="6">
        <v>43441.334166666667</v>
      </c>
      <c r="B1518" s="7" t="str">
        <f>HYPERLINK("https://twitter.com/lavozdealmeria","@lavozdealmeria")</f>
        <v>@lavozdealmeria</v>
      </c>
      <c r="C1518" s="8" t="s">
        <v>5312</v>
      </c>
      <c r="D1518" s="9" t="s">
        <v>5468</v>
      </c>
      <c r="E1518" s="10" t="str">
        <f>HYPERLINK("https://twitter.com/lavozdealmeria/status/1070936245512085504","1070936245512085504")</f>
        <v>1070936245512085504</v>
      </c>
      <c r="F1518" s="12"/>
      <c r="G1518" s="11" t="s">
        <v>5469</v>
      </c>
      <c r="H1518" s="12"/>
      <c r="I1518" s="13">
        <v>1</v>
      </c>
      <c r="J1518" s="13">
        <v>0</v>
      </c>
      <c r="K1518" s="14" t="str">
        <f>HYPERLINK("https://metricool.com","Metricool")</f>
        <v>Metricool</v>
      </c>
      <c r="L1518" s="13">
        <v>65100</v>
      </c>
      <c r="M1518" s="13">
        <v>544</v>
      </c>
      <c r="N1518" s="13">
        <v>454</v>
      </c>
      <c r="O1518" s="15"/>
      <c r="P1518" s="6">
        <v>40601.515011574076</v>
      </c>
      <c r="Q1518" s="16" t="s">
        <v>4565</v>
      </c>
      <c r="R1518" s="17" t="s">
        <v>5315</v>
      </c>
      <c r="S1518" s="11" t="s">
        <v>5316</v>
      </c>
      <c r="T1518" s="12"/>
      <c r="U1518" s="10" t="str">
        <f>HYPERLINK("https://pbs.twimg.com/profile_images/903233600249888773/E7owiIy7.jpg","View")</f>
        <v>View</v>
      </c>
    </row>
    <row r="1519" spans="1:21" ht="20.399999999999999">
      <c r="A1519" s="6">
        <v>43441.333483796298</v>
      </c>
      <c r="B1519" s="7" t="str">
        <f>HYPERLINK("https://twitter.com/napa_es","@napa_es")</f>
        <v>@napa_es</v>
      </c>
      <c r="C1519" s="8" t="s">
        <v>5470</v>
      </c>
      <c r="D1519" s="9" t="s">
        <v>3089</v>
      </c>
      <c r="E1519" s="10" t="str">
        <f>HYPERLINK("https://twitter.com/napa_es/status/1070935995825225729","1070935995825225729")</f>
        <v>1070935995825225729</v>
      </c>
      <c r="F1519" s="11" t="s">
        <v>5471</v>
      </c>
      <c r="G1519" s="11" t="s">
        <v>5472</v>
      </c>
      <c r="H1519" s="12"/>
      <c r="I1519" s="13">
        <v>0</v>
      </c>
      <c r="J1519" s="13">
        <v>0</v>
      </c>
      <c r="K1519" s="14" t="str">
        <f>HYPERLINK("https://xn--apa-6ma.es","Ñapa")</f>
        <v>Ñapa</v>
      </c>
      <c r="L1519" s="13">
        <v>6</v>
      </c>
      <c r="M1519" s="13">
        <v>1</v>
      </c>
      <c r="N1519" s="13">
        <v>1</v>
      </c>
      <c r="O1519" s="15"/>
      <c r="P1519" s="6">
        <v>43009.635416666672</v>
      </c>
      <c r="Q1519" s="12"/>
      <c r="R1519" s="19"/>
      <c r="S1519" s="11" t="s">
        <v>5473</v>
      </c>
      <c r="T1519" s="12"/>
      <c r="U1519" s="10" t="str">
        <f>HYPERLINK("https://pbs.twimg.com/profile_images/1037392376887685122/CWJ5Ymto.jpg","View")</f>
        <v>View</v>
      </c>
    </row>
    <row r="1520" spans="1:21" ht="71.400000000000006">
      <c r="A1520" s="6">
        <v>43441.331921296296</v>
      </c>
      <c r="B1520" s="7" t="str">
        <f>HYPERLINK("https://twitter.com/annacristi66","@annacristi66")</f>
        <v>@annacristi66</v>
      </c>
      <c r="C1520" s="8" t="s">
        <v>5474</v>
      </c>
      <c r="D1520" s="9" t="s">
        <v>5475</v>
      </c>
      <c r="E1520" s="10" t="str">
        <f>HYPERLINK("https://twitter.com/annacristi66/status/1070935432421085184","1070935432421085184")</f>
        <v>1070935432421085184</v>
      </c>
      <c r="F1520" s="11" t="s">
        <v>54</v>
      </c>
      <c r="G1520" s="11" t="s">
        <v>55</v>
      </c>
      <c r="H1520" s="12"/>
      <c r="I1520" s="13">
        <v>10</v>
      </c>
      <c r="J1520" s="13">
        <v>19</v>
      </c>
      <c r="K1520" s="14" t="str">
        <f>HYPERLINK("http://twitter.com/download/android","Twitter for Android")</f>
        <v>Twitter for Android</v>
      </c>
      <c r="L1520" s="13">
        <v>701</v>
      </c>
      <c r="M1520" s="13">
        <v>642</v>
      </c>
      <c r="N1520" s="13">
        <v>1</v>
      </c>
      <c r="O1520" s="15"/>
      <c r="P1520" s="6">
        <v>40617.460138888891</v>
      </c>
      <c r="Q1520" s="16" t="s">
        <v>5476</v>
      </c>
      <c r="R1520" s="17" t="s">
        <v>5477</v>
      </c>
      <c r="S1520" s="12"/>
      <c r="T1520" s="12"/>
      <c r="U1520" s="10" t="str">
        <f>HYPERLINK("https://pbs.twimg.com/profile_images/1068426559395151872/P-bG64NY.jpg","View")</f>
        <v>View</v>
      </c>
    </row>
    <row r="1521" spans="1:21" ht="40.799999999999997">
      <c r="A1521" s="6">
        <v>43441.330868055556</v>
      </c>
      <c r="B1521" s="7" t="str">
        <f>HYPERLINK("https://twitter.com/RaulCuadradoM","@RaulCuadradoM")</f>
        <v>@RaulCuadradoM</v>
      </c>
      <c r="C1521" s="8" t="s">
        <v>5478</v>
      </c>
      <c r="D1521" s="9" t="s">
        <v>5479</v>
      </c>
      <c r="E1521" s="10" t="str">
        <f>HYPERLINK("https://twitter.com/RaulCuadradoM/status/1070935048550080512","1070935048550080512")</f>
        <v>1070935048550080512</v>
      </c>
      <c r="F1521" s="12"/>
      <c r="G1521" s="11" t="s">
        <v>5480</v>
      </c>
      <c r="H1521" s="12"/>
      <c r="I1521" s="13">
        <v>0</v>
      </c>
      <c r="J1521" s="13">
        <v>0</v>
      </c>
      <c r="K1521" s="14" t="str">
        <f>HYPERLINK("http://twitter.com/#!/download/ipad","Twitter for iPad")</f>
        <v>Twitter for iPad</v>
      </c>
      <c r="L1521" s="13">
        <v>1123</v>
      </c>
      <c r="M1521" s="13">
        <v>42</v>
      </c>
      <c r="N1521" s="13">
        <v>19</v>
      </c>
      <c r="O1521" s="15"/>
      <c r="P1521" s="6">
        <v>40882.828217592592</v>
      </c>
      <c r="Q1521" s="12"/>
      <c r="R1521" s="17" t="s">
        <v>5481</v>
      </c>
      <c r="S1521" s="12"/>
      <c r="T1521" s="12"/>
      <c r="U1521" s="10" t="str">
        <f>HYPERLINK("https://pbs.twimg.com/profile_images/901938772513882112/GbzOLBoB.jpg","View")</f>
        <v>View</v>
      </c>
    </row>
    <row r="1522" spans="1:21" ht="30.6">
      <c r="A1522" s="6">
        <v>43441.329965277779</v>
      </c>
      <c r="B1522" s="7" t="str">
        <f>HYPERLINK("https://twitter.com/poliqrvpp","@poliqrvpp")</f>
        <v>@poliqrvpp</v>
      </c>
      <c r="C1522" s="8" t="s">
        <v>5482</v>
      </c>
      <c r="D1522" s="9" t="s">
        <v>3317</v>
      </c>
      <c r="E1522" s="10" t="str">
        <f>HYPERLINK("https://twitter.com/poliqrvpp/status/1070934720987480064","1070934720987480064")</f>
        <v>1070934720987480064</v>
      </c>
      <c r="F1522" s="11" t="s">
        <v>5483</v>
      </c>
      <c r="G1522" s="12"/>
      <c r="H1522" s="12"/>
      <c r="I1522" s="13">
        <v>0</v>
      </c>
      <c r="J1522" s="13">
        <v>0</v>
      </c>
      <c r="K1522" s="14" t="str">
        <f>HYPERLINK("http://twitter.com/download/iphone","Twitter for iPhone")</f>
        <v>Twitter for iPhone</v>
      </c>
      <c r="L1522" s="13">
        <v>9437</v>
      </c>
      <c r="M1522" s="13">
        <v>8687</v>
      </c>
      <c r="N1522" s="13">
        <v>39</v>
      </c>
      <c r="O1522" s="15"/>
      <c r="P1522" s="6">
        <v>41020.028553240743</v>
      </c>
      <c r="Q1522" s="12"/>
      <c r="R1522" s="17" t="s">
        <v>5484</v>
      </c>
      <c r="S1522" s="12"/>
      <c r="T1522" s="12"/>
      <c r="U1522" s="10" t="str">
        <f>HYPERLINK("https://pbs.twimg.com/profile_images/2593247617/L6zvt1Sl","View")</f>
        <v>View</v>
      </c>
    </row>
    <row r="1523" spans="1:21" ht="40.799999999999997">
      <c r="A1523" s="6">
        <v>43441.329293981486</v>
      </c>
      <c r="B1523" s="7" t="str">
        <f>HYPERLINK("https://twitter.com/mmmbango","@mmmbango")</f>
        <v>@mmmbango</v>
      </c>
      <c r="C1523" s="8" t="s">
        <v>921</v>
      </c>
      <c r="D1523" s="9" t="s">
        <v>5485</v>
      </c>
      <c r="E1523" s="10" t="str">
        <f>HYPERLINK("https://twitter.com/mmmbango/status/1070934478565113856","1070934478565113856")</f>
        <v>1070934478565113856</v>
      </c>
      <c r="F1523" s="11" t="s">
        <v>432</v>
      </c>
      <c r="G1523" s="12"/>
      <c r="H1523" s="12"/>
      <c r="I1523" s="13">
        <v>3</v>
      </c>
      <c r="J1523" s="13">
        <v>3</v>
      </c>
      <c r="K1523" s="14" t="str">
        <f>HYPERLINK("http://twitter.com/download/android","Twitter for Android")</f>
        <v>Twitter for Android</v>
      </c>
      <c r="L1523" s="13">
        <v>6691</v>
      </c>
      <c r="M1523" s="13">
        <v>4488</v>
      </c>
      <c r="N1523" s="13">
        <v>69</v>
      </c>
      <c r="O1523" s="15"/>
      <c r="P1523" s="6">
        <v>41521.720983796295</v>
      </c>
      <c r="Q1523" s="16" t="s">
        <v>924</v>
      </c>
      <c r="R1523" s="17" t="s">
        <v>925</v>
      </c>
      <c r="S1523" s="11" t="s">
        <v>926</v>
      </c>
      <c r="T1523" s="12"/>
      <c r="U1523" s="10" t="str">
        <f>HYPERLINK("https://pbs.twimg.com/profile_images/855523465796964352/PuP44M-h.jpg","View")</f>
        <v>View</v>
      </c>
    </row>
    <row r="1524" spans="1:21" ht="61.2">
      <c r="A1524" s="6">
        <v>43441.328148148154</v>
      </c>
      <c r="B1524" s="7" t="str">
        <f>HYPERLINK("https://twitter.com/vox_SanLorenzoE","@vox_SanLorenzoE")</f>
        <v>@vox_SanLorenzoE</v>
      </c>
      <c r="C1524" s="8" t="s">
        <v>5486</v>
      </c>
      <c r="D1524" s="9" t="s">
        <v>5487</v>
      </c>
      <c r="E1524" s="10" t="str">
        <f>HYPERLINK("https://twitter.com/vox_SanLorenzoE/status/1070934062469124097","1070934062469124097")</f>
        <v>1070934062469124097</v>
      </c>
      <c r="F1524" s="11" t="s">
        <v>5488</v>
      </c>
      <c r="G1524" s="11" t="s">
        <v>5489</v>
      </c>
      <c r="H1524" s="12"/>
      <c r="I1524" s="13">
        <v>1</v>
      </c>
      <c r="J1524" s="13">
        <v>2</v>
      </c>
      <c r="K1524" s="14" t="str">
        <f>HYPERLINK("http://twitter.com/download/iphone","Twitter for iPhone")</f>
        <v>Twitter for iPhone</v>
      </c>
      <c r="L1524" s="13">
        <v>439</v>
      </c>
      <c r="M1524" s="13">
        <v>327</v>
      </c>
      <c r="N1524" s="13">
        <v>1</v>
      </c>
      <c r="O1524" s="15"/>
      <c r="P1524" s="6">
        <v>43136.489317129628</v>
      </c>
      <c r="Q1524" s="16" t="s">
        <v>3767</v>
      </c>
      <c r="R1524" s="17" t="s">
        <v>5490</v>
      </c>
      <c r="S1524" s="11" t="s">
        <v>5491</v>
      </c>
      <c r="T1524" s="12"/>
      <c r="U1524" s="10" t="str">
        <f>HYPERLINK("https://pbs.twimg.com/profile_images/960480517291470848/6wloWqJE.jpg","View")</f>
        <v>View</v>
      </c>
    </row>
    <row r="1525" spans="1:21" ht="20.399999999999999">
      <c r="A1525" s="6">
        <v>43441.327662037038</v>
      </c>
      <c r="B1525" s="7" t="str">
        <f>HYPERLINK("https://twitter.com/AntonioLola4","@AntonioLola4")</f>
        <v>@AntonioLola4</v>
      </c>
      <c r="C1525" s="8" t="s">
        <v>1679</v>
      </c>
      <c r="D1525" s="9" t="s">
        <v>4627</v>
      </c>
      <c r="E1525" s="10" t="str">
        <f>HYPERLINK("https://twitter.com/AntonioLola4/status/1070933885872152576","1070933885872152576")</f>
        <v>1070933885872152576</v>
      </c>
      <c r="F1525" s="11" t="s">
        <v>4628</v>
      </c>
      <c r="G1525" s="12"/>
      <c r="H1525" s="12"/>
      <c r="I1525" s="13">
        <v>0</v>
      </c>
      <c r="J1525" s="13">
        <v>0</v>
      </c>
      <c r="K1525" s="14" t="str">
        <f>HYPERLINK("http://twitter.com/download/android","Twitter for Android")</f>
        <v>Twitter for Android</v>
      </c>
      <c r="L1525" s="13">
        <v>147</v>
      </c>
      <c r="M1525" s="13">
        <v>340</v>
      </c>
      <c r="N1525" s="13">
        <v>1</v>
      </c>
      <c r="O1525" s="15"/>
      <c r="P1525" s="6">
        <v>43322.567500000005</v>
      </c>
      <c r="Q1525" s="12"/>
      <c r="R1525" s="19"/>
      <c r="S1525" s="12"/>
      <c r="T1525" s="12"/>
      <c r="U1525" s="10" t="str">
        <f>HYPERLINK("https://pbs.twimg.com/profile_images/1033050274888331264/7Km_PoOW.jpg","View")</f>
        <v>View</v>
      </c>
    </row>
    <row r="1526" spans="1:21" ht="30.6">
      <c r="A1526" s="6">
        <v>43441.327511574069</v>
      </c>
      <c r="B1526" s="7" t="str">
        <f>HYPERLINK("https://twitter.com/RetogenesC","@RetogenesC")</f>
        <v>@RetogenesC</v>
      </c>
      <c r="C1526" s="8" t="s">
        <v>687</v>
      </c>
      <c r="D1526" s="9" t="s">
        <v>3317</v>
      </c>
      <c r="E1526" s="10" t="str">
        <f>HYPERLINK("https://twitter.com/RetogenesC/status/1070933833900589057","1070933833900589057")</f>
        <v>1070933833900589057</v>
      </c>
      <c r="F1526" s="11" t="s">
        <v>5492</v>
      </c>
      <c r="G1526" s="12"/>
      <c r="H1526" s="12"/>
      <c r="I1526" s="13">
        <v>0</v>
      </c>
      <c r="J1526" s="13">
        <v>0</v>
      </c>
      <c r="K1526" s="14" t="str">
        <f t="shared" ref="K1526:K1527" si="264">HYPERLINK("http://twitter.com","Twitter Web Client")</f>
        <v>Twitter Web Client</v>
      </c>
      <c r="L1526" s="13">
        <v>567</v>
      </c>
      <c r="M1526" s="13">
        <v>814</v>
      </c>
      <c r="N1526" s="13">
        <v>1</v>
      </c>
      <c r="O1526" s="15"/>
      <c r="P1526" s="6">
        <v>43402.911990740744</v>
      </c>
      <c r="Q1526" s="16" t="s">
        <v>690</v>
      </c>
      <c r="R1526" s="17" t="s">
        <v>691</v>
      </c>
      <c r="S1526" s="12"/>
      <c r="T1526" s="12"/>
      <c r="U1526" s="10" t="str">
        <f>HYPERLINK("https://pbs.twimg.com/profile_images/1057387412169674753/70xRfk8A.jpg","View")</f>
        <v>View</v>
      </c>
    </row>
    <row r="1527" spans="1:21" ht="40.799999999999997">
      <c r="A1527" s="6">
        <v>43441.327164351853</v>
      </c>
      <c r="B1527" s="7" t="str">
        <f>HYPERLINK("https://twitter.com/wizfun","@wizfun")</f>
        <v>@wizfun</v>
      </c>
      <c r="C1527" s="8" t="s">
        <v>5493</v>
      </c>
      <c r="D1527" s="9" t="s">
        <v>5494</v>
      </c>
      <c r="E1527" s="10" t="str">
        <f>HYPERLINK("https://twitter.com/wizfun/status/1070933708922867713","1070933708922867713")</f>
        <v>1070933708922867713</v>
      </c>
      <c r="F1527" s="11" t="s">
        <v>5495</v>
      </c>
      <c r="G1527" s="12"/>
      <c r="H1527" s="12"/>
      <c r="I1527" s="13">
        <v>0</v>
      </c>
      <c r="J1527" s="13">
        <v>0</v>
      </c>
      <c r="K1527" s="14" t="str">
        <f t="shared" si="264"/>
        <v>Twitter Web Client</v>
      </c>
      <c r="L1527" s="13">
        <v>200</v>
      </c>
      <c r="M1527" s="13">
        <v>291</v>
      </c>
      <c r="N1527" s="13">
        <v>13</v>
      </c>
      <c r="O1527" s="15"/>
      <c r="P1527" s="6">
        <v>40266.80096064815</v>
      </c>
      <c r="Q1527" s="16" t="s">
        <v>60</v>
      </c>
      <c r="R1527" s="17" t="s">
        <v>5496</v>
      </c>
      <c r="S1527" s="11" t="s">
        <v>5497</v>
      </c>
      <c r="T1527" s="12"/>
      <c r="U1527" s="10" t="str">
        <f>HYPERLINK("https://pbs.twimg.com/profile_images/1200922608/39422f431da47e9d825fb425d6cbae8136226167.jpg","View")</f>
        <v>View</v>
      </c>
    </row>
    <row r="1528" spans="1:21" ht="71.400000000000006">
      <c r="A1528" s="6">
        <v>43441.325740740736</v>
      </c>
      <c r="B1528" s="7" t="str">
        <f>HYPERLINK("https://twitter.com/f8bce749397649a","@f8bce749397649a")</f>
        <v>@f8bce749397649a</v>
      </c>
      <c r="C1528" s="8" t="s">
        <v>5498</v>
      </c>
      <c r="D1528" s="9" t="s">
        <v>5499</v>
      </c>
      <c r="E1528" s="10" t="str">
        <f>HYPERLINK("https://twitter.com/f8bce749397649a/status/1070933190141927424","1070933190141927424")</f>
        <v>1070933190141927424</v>
      </c>
      <c r="F1528" s="16" t="s">
        <v>5500</v>
      </c>
      <c r="G1528" s="12"/>
      <c r="H1528" s="12"/>
      <c r="I1528" s="13">
        <v>0</v>
      </c>
      <c r="J1528" s="13">
        <v>0</v>
      </c>
      <c r="K1528" s="14" t="str">
        <f>HYPERLINK("http://twitter.com/download/android","Twitter for Android")</f>
        <v>Twitter for Android</v>
      </c>
      <c r="L1528" s="13">
        <v>238</v>
      </c>
      <c r="M1528" s="13">
        <v>452</v>
      </c>
      <c r="N1528" s="13">
        <v>4</v>
      </c>
      <c r="O1528" s="15"/>
      <c r="P1528" s="6">
        <v>42002.580937499995</v>
      </c>
      <c r="Q1528" s="16" t="s">
        <v>230</v>
      </c>
      <c r="R1528" s="17" t="s">
        <v>5501</v>
      </c>
      <c r="S1528" s="12"/>
      <c r="T1528" s="12"/>
      <c r="U1528" s="10" t="str">
        <f>HYPERLINK("https://pbs.twimg.com/profile_images/920010241022025728/6cmBtKKz.jpg","View")</f>
        <v>View</v>
      </c>
    </row>
    <row r="1529" spans="1:21" ht="20.399999999999999">
      <c r="A1529" s="6">
        <v>43441.32503472222</v>
      </c>
      <c r="B1529" s="7" t="str">
        <f>HYPERLINK("https://twitter.com/sebasti55442171","@sebasti55442171")</f>
        <v>@sebasti55442171</v>
      </c>
      <c r="C1529" s="8" t="s">
        <v>5502</v>
      </c>
      <c r="D1529" s="9" t="s">
        <v>5018</v>
      </c>
      <c r="E1529" s="10" t="str">
        <f>HYPERLINK("https://twitter.com/sebasti55442171/status/1070932933748371456","1070932933748371456")</f>
        <v>1070932933748371456</v>
      </c>
      <c r="F1529" s="11" t="s">
        <v>115</v>
      </c>
      <c r="G1529" s="12"/>
      <c r="H1529" s="12"/>
      <c r="I1529" s="13">
        <v>0</v>
      </c>
      <c r="J1529" s="13">
        <v>0</v>
      </c>
      <c r="K1529" s="14" t="str">
        <f>HYPERLINK("http://twitter.com","Twitter Web Client")</f>
        <v>Twitter Web Client</v>
      </c>
      <c r="L1529" s="13">
        <v>93</v>
      </c>
      <c r="M1529" s="13">
        <v>789</v>
      </c>
      <c r="N1529" s="13">
        <v>0</v>
      </c>
      <c r="O1529" s="15"/>
      <c r="P1529" s="6">
        <v>42351.393136574072</v>
      </c>
      <c r="Q1529" s="12"/>
      <c r="R1529" s="19"/>
      <c r="S1529" s="12"/>
      <c r="T1529" s="12"/>
      <c r="U1529" s="10" t="str">
        <f>HYPERLINK("https://pbs.twimg.com/profile_images/675958491480260608/nDNj-NCq.jpg","View")</f>
        <v>View</v>
      </c>
    </row>
    <row r="1530" spans="1:21" ht="51">
      <c r="A1530" s="6">
        <v>43441.324155092589</v>
      </c>
      <c r="B1530" s="7" t="str">
        <f>HYPERLINK("https://twitter.com/AgoraCampTuria","@AgoraCampTuria")</f>
        <v>@AgoraCampTuria</v>
      </c>
      <c r="C1530" s="8" t="s">
        <v>5503</v>
      </c>
      <c r="D1530" s="9" t="s">
        <v>5504</v>
      </c>
      <c r="E1530" s="10" t="str">
        <f>HYPERLINK("https://twitter.com/AgoraCampTuria/status/1070932617804046336","1070932617804046336")</f>
        <v>1070932617804046336</v>
      </c>
      <c r="F1530" s="11" t="s">
        <v>5505</v>
      </c>
      <c r="G1530" s="11" t="s">
        <v>5506</v>
      </c>
      <c r="H1530" s="12"/>
      <c r="I1530" s="13">
        <v>0</v>
      </c>
      <c r="J1530" s="13">
        <v>0</v>
      </c>
      <c r="K1530" s="14" t="str">
        <f>HYPERLINK("https://ifttt.com","IFTTT")</f>
        <v>IFTTT</v>
      </c>
      <c r="L1530" s="13">
        <v>126</v>
      </c>
      <c r="M1530" s="13">
        <v>135</v>
      </c>
      <c r="N1530" s="13">
        <v>3</v>
      </c>
      <c r="O1530" s="15"/>
      <c r="P1530" s="6">
        <v>42160.515694444446</v>
      </c>
      <c r="Q1530" s="16" t="s">
        <v>5507</v>
      </c>
      <c r="R1530" s="17" t="s">
        <v>5508</v>
      </c>
      <c r="S1530" s="11" t="s">
        <v>5509</v>
      </c>
      <c r="T1530" s="12"/>
      <c r="U1530" s="10" t="str">
        <f>HYPERLINK("https://pbs.twimg.com/profile_images/606768946251984896/7gAdgGD2.jpg","View")</f>
        <v>View</v>
      </c>
    </row>
    <row r="1531" spans="1:21" ht="30.6">
      <c r="A1531" s="6">
        <v>43441.324108796296</v>
      </c>
      <c r="B1531" s="7" t="str">
        <f>HYPERLINK("https://twitter.com/periodicovzlano","@periodicovzlano")</f>
        <v>@periodicovzlano</v>
      </c>
      <c r="C1531" s="8" t="s">
        <v>869</v>
      </c>
      <c r="D1531" s="9" t="s">
        <v>3001</v>
      </c>
      <c r="E1531" s="10" t="str">
        <f>HYPERLINK("https://twitter.com/periodicovzlano/status/1070932602150969345","1070932602150969345")</f>
        <v>1070932602150969345</v>
      </c>
      <c r="F1531" s="11" t="s">
        <v>2757</v>
      </c>
      <c r="G1531" s="11" t="s">
        <v>5510</v>
      </c>
      <c r="H1531" s="12"/>
      <c r="I1531" s="13">
        <v>0</v>
      </c>
      <c r="J1531" s="13">
        <v>0</v>
      </c>
      <c r="K1531" s="14" t="str">
        <f>HYPERLINK("http://epmundo.com","Tuiteo TOP EP (1)")</f>
        <v>Tuiteo TOP EP (1)</v>
      </c>
      <c r="L1531" s="13">
        <v>479694</v>
      </c>
      <c r="M1531" s="13">
        <v>358804</v>
      </c>
      <c r="N1531" s="13">
        <v>1295</v>
      </c>
      <c r="O1531" s="15"/>
      <c r="P1531" s="6">
        <v>40663.3512962963</v>
      </c>
      <c r="Q1531" s="16" t="s">
        <v>871</v>
      </c>
      <c r="R1531" s="17" t="s">
        <v>872</v>
      </c>
      <c r="S1531" s="11" t="s">
        <v>873</v>
      </c>
      <c r="T1531" s="12"/>
      <c r="U1531" s="10" t="str">
        <f>HYPERLINK("https://pbs.twimg.com/profile_images/958328579250638849/MCz7Q8U6.jpg","View")</f>
        <v>View</v>
      </c>
    </row>
    <row r="1532" spans="1:21" ht="30.6">
      <c r="A1532" s="6">
        <v>43441.323576388888</v>
      </c>
      <c r="B1532" s="7" t="str">
        <f>HYPERLINK("https://twitter.com/Jacobo7elbobo","@Jacobo7elbobo")</f>
        <v>@Jacobo7elbobo</v>
      </c>
      <c r="C1532" s="8" t="s">
        <v>4168</v>
      </c>
      <c r="D1532" s="9" t="s">
        <v>2428</v>
      </c>
      <c r="E1532" s="10" t="str">
        <f>HYPERLINK("https://twitter.com/Jacobo7elbobo/status/1070932409108103168","1070932409108103168")</f>
        <v>1070932409108103168</v>
      </c>
      <c r="F1532" s="11" t="s">
        <v>246</v>
      </c>
      <c r="G1532" s="12"/>
      <c r="H1532" s="12"/>
      <c r="I1532" s="13">
        <v>0</v>
      </c>
      <c r="J1532" s="13">
        <v>0</v>
      </c>
      <c r="K1532" s="14" t="str">
        <f>HYPERLINK("http://twitter.com","Twitter Web Client")</f>
        <v>Twitter Web Client</v>
      </c>
      <c r="L1532" s="13">
        <v>5561</v>
      </c>
      <c r="M1532" s="13">
        <v>5286</v>
      </c>
      <c r="N1532" s="13">
        <v>8</v>
      </c>
      <c r="O1532" s="15"/>
      <c r="P1532" s="6">
        <v>42315.993460648147</v>
      </c>
      <c r="Q1532" s="16" t="s">
        <v>4169</v>
      </c>
      <c r="R1532" s="17" t="s">
        <v>4170</v>
      </c>
      <c r="S1532" s="12"/>
      <c r="T1532" s="12"/>
      <c r="U1532" s="10" t="str">
        <f>HYPERLINK("https://pbs.twimg.com/profile_images/972809079289675776/alLBdem6.jpg","View")</f>
        <v>View</v>
      </c>
    </row>
    <row r="1533" spans="1:21" ht="20.399999999999999">
      <c r="A1533" s="6">
        <v>43441.323101851856</v>
      </c>
      <c r="B1533" s="7" t="str">
        <f>HYPERLINK("https://twitter.com/inalterablecosa","@inalterablecosa")</f>
        <v>@inalterablecosa</v>
      </c>
      <c r="C1533" s="8" t="s">
        <v>5511</v>
      </c>
      <c r="D1533" s="9" t="s">
        <v>5512</v>
      </c>
      <c r="E1533" s="10" t="str">
        <f>HYPERLINK("https://twitter.com/inalterablecosa/status/1070932233396064257","1070932233396064257")</f>
        <v>1070932233396064257</v>
      </c>
      <c r="F1533" s="11" t="s">
        <v>2409</v>
      </c>
      <c r="G1533" s="12"/>
      <c r="H1533" s="12"/>
      <c r="I1533" s="13">
        <v>0</v>
      </c>
      <c r="J1533" s="13">
        <v>0</v>
      </c>
      <c r="K1533" s="14" t="str">
        <f>HYPERLINK("https://buffer.com","Buffer")</f>
        <v>Buffer</v>
      </c>
      <c r="L1533" s="13">
        <v>9419</v>
      </c>
      <c r="M1533" s="13">
        <v>7466</v>
      </c>
      <c r="N1533" s="13">
        <v>54</v>
      </c>
      <c r="O1533" s="15"/>
      <c r="P1533" s="6">
        <v>42021.491030092591</v>
      </c>
      <c r="Q1533" s="16" t="s">
        <v>4335</v>
      </c>
      <c r="R1533" s="17" t="s">
        <v>5513</v>
      </c>
      <c r="S1533" s="12"/>
      <c r="T1533" s="12"/>
      <c r="U1533" s="10" t="str">
        <f>HYPERLINK("https://pbs.twimg.com/profile_images/803657897729294337/OYR4fkJ2.jpg","View")</f>
        <v>View</v>
      </c>
    </row>
    <row r="1534" spans="1:21" ht="71.400000000000006">
      <c r="A1534" s="6">
        <v>43441.322372685187</v>
      </c>
      <c r="B1534" s="7" t="str">
        <f>HYPERLINK("https://twitter.com/RichalEl","@RichalEl")</f>
        <v>@RichalEl</v>
      </c>
      <c r="C1534" s="8" t="s">
        <v>5514</v>
      </c>
      <c r="D1534" s="9" t="s">
        <v>5515</v>
      </c>
      <c r="E1534" s="10" t="str">
        <f>HYPERLINK("https://twitter.com/RichalEl/status/1070931972808208385","1070931972808208385")</f>
        <v>1070931972808208385</v>
      </c>
      <c r="F1534" s="16" t="s">
        <v>5516</v>
      </c>
      <c r="G1534" s="12"/>
      <c r="H1534" s="12"/>
      <c r="I1534" s="13">
        <v>17</v>
      </c>
      <c r="J1534" s="13">
        <v>8</v>
      </c>
      <c r="K1534" s="14" t="str">
        <f t="shared" ref="K1534:K1535" si="265">HYPERLINK("http://twitter.com/download/android","Twitter for Android")</f>
        <v>Twitter for Android</v>
      </c>
      <c r="L1534" s="13">
        <v>91</v>
      </c>
      <c r="M1534" s="13">
        <v>21</v>
      </c>
      <c r="N1534" s="13">
        <v>0</v>
      </c>
      <c r="O1534" s="15"/>
      <c r="P1534" s="6">
        <v>43199.74391203704</v>
      </c>
      <c r="Q1534" s="12"/>
      <c r="R1534" s="19"/>
      <c r="S1534" s="12"/>
      <c r="T1534" s="12"/>
      <c r="U1534" s="10" t="str">
        <f>HYPERLINK("https://pbs.twimg.com/profile_images/983380370266705921/mlUPLO03.jpg","View")</f>
        <v>View</v>
      </c>
    </row>
    <row r="1535" spans="1:21" ht="40.799999999999997">
      <c r="A1535" s="6">
        <v>43441.321979166663</v>
      </c>
      <c r="B1535" s="7" t="str">
        <f>HYPERLINK("https://twitter.com/DavidLVizcaino","@DavidLVizcaino")</f>
        <v>@DavidLVizcaino</v>
      </c>
      <c r="C1535" s="8" t="s">
        <v>2014</v>
      </c>
      <c r="D1535" s="9" t="s">
        <v>5517</v>
      </c>
      <c r="E1535" s="10" t="str">
        <f>HYPERLINK("https://twitter.com/DavidLVizcaino/status/1070931827999809539","1070931827999809539")</f>
        <v>1070931827999809539</v>
      </c>
      <c r="F1535" s="12"/>
      <c r="G1535" s="12"/>
      <c r="H1535" s="12"/>
      <c r="I1535" s="13">
        <v>0</v>
      </c>
      <c r="J1535" s="13">
        <v>2</v>
      </c>
      <c r="K1535" s="14" t="str">
        <f t="shared" si="265"/>
        <v>Twitter for Android</v>
      </c>
      <c r="L1535" s="13">
        <v>1478</v>
      </c>
      <c r="M1535" s="13">
        <v>1066</v>
      </c>
      <c r="N1535" s="13">
        <v>18</v>
      </c>
      <c r="O1535" s="15"/>
      <c r="P1535" s="6">
        <v>41942.674942129626</v>
      </c>
      <c r="Q1535" s="12"/>
      <c r="R1535" s="17" t="s">
        <v>2016</v>
      </c>
      <c r="S1535" s="11" t="s">
        <v>2017</v>
      </c>
      <c r="T1535" s="12"/>
      <c r="U1535" s="10" t="str">
        <f>HYPERLINK("https://pbs.twimg.com/profile_images/527842323359465472/A8-dtjg2.jpeg","View")</f>
        <v>View</v>
      </c>
    </row>
    <row r="1536" spans="1:21" ht="30.6">
      <c r="A1536" s="6">
        <v>43441.320717592593</v>
      </c>
      <c r="B1536" s="7" t="str">
        <f>HYPERLINK("https://twitter.com/MasDeUno","@MasDeUno")</f>
        <v>@MasDeUno</v>
      </c>
      <c r="C1536" s="8" t="s">
        <v>5518</v>
      </c>
      <c r="D1536" s="9" t="s">
        <v>5519</v>
      </c>
      <c r="E1536" s="10" t="str">
        <f>HYPERLINK("https://twitter.com/MasDeUno/status/1070931371084910592","1070931371084910592")</f>
        <v>1070931371084910592</v>
      </c>
      <c r="F1536" s="11" t="s">
        <v>5520</v>
      </c>
      <c r="G1536" s="11" t="s">
        <v>5521</v>
      </c>
      <c r="H1536" s="12"/>
      <c r="I1536" s="13">
        <v>3</v>
      </c>
      <c r="J1536" s="13">
        <v>8</v>
      </c>
      <c r="K1536" s="14" t="str">
        <f t="shared" ref="K1536:K1537" si="266">HYPERLINK("http://twitter.com","Twitter Web Client")</f>
        <v>Twitter Web Client</v>
      </c>
      <c r="L1536" s="13">
        <v>49762</v>
      </c>
      <c r="M1536" s="13">
        <v>261</v>
      </c>
      <c r="N1536" s="13">
        <v>507</v>
      </c>
      <c r="O1536" s="18" t="s">
        <v>41</v>
      </c>
      <c r="P1536" s="6">
        <v>42088.51399305556</v>
      </c>
      <c r="Q1536" s="12"/>
      <c r="R1536" s="17" t="s">
        <v>5522</v>
      </c>
      <c r="S1536" s="11" t="s">
        <v>5523</v>
      </c>
      <c r="T1536" s="12"/>
      <c r="U1536" s="10" t="str">
        <f>HYPERLINK("https://pbs.twimg.com/profile_images/581419702653698048/nUHjNg6A.jpg","View")</f>
        <v>View</v>
      </c>
    </row>
    <row r="1537" spans="1:21" ht="40.799999999999997">
      <c r="A1537" s="6">
        <v>43441.31967592593</v>
      </c>
      <c r="B1537" s="7" t="str">
        <f>HYPERLINK("https://twitter.com/MuyLiberal","@MuyLiberal")</f>
        <v>@MuyLiberal</v>
      </c>
      <c r="C1537" s="8" t="s">
        <v>5524</v>
      </c>
      <c r="D1537" s="9" t="s">
        <v>3317</v>
      </c>
      <c r="E1537" s="10" t="str">
        <f>HYPERLINK("https://twitter.com/MuyLiberal/status/1070930991726895106","1070930991726895106")</f>
        <v>1070930991726895106</v>
      </c>
      <c r="F1537" s="11" t="s">
        <v>5525</v>
      </c>
      <c r="G1537" s="12"/>
      <c r="H1537" s="12"/>
      <c r="I1537" s="13">
        <v>13</v>
      </c>
      <c r="J1537" s="13">
        <v>27</v>
      </c>
      <c r="K1537" s="14" t="str">
        <f t="shared" si="266"/>
        <v>Twitter Web Client</v>
      </c>
      <c r="L1537" s="13">
        <v>29630</v>
      </c>
      <c r="M1537" s="13">
        <v>1982</v>
      </c>
      <c r="N1537" s="13">
        <v>241</v>
      </c>
      <c r="O1537" s="18" t="s">
        <v>41</v>
      </c>
      <c r="P1537" s="6">
        <v>41184.784629629634</v>
      </c>
      <c r="Q1537" s="12"/>
      <c r="R1537" s="17" t="s">
        <v>5526</v>
      </c>
      <c r="S1537" s="11" t="s">
        <v>5527</v>
      </c>
      <c r="T1537" s="12"/>
      <c r="U1537" s="10" t="str">
        <f>HYPERLINK("https://pbs.twimg.com/profile_images/1065892129539530753/g638P6sH.jpg","View")</f>
        <v>View</v>
      </c>
    </row>
    <row r="1538" spans="1:21" ht="30.6">
      <c r="A1538" s="6">
        <v>43441.319652777776</v>
      </c>
      <c r="B1538" s="7" t="str">
        <f>HYPERLINK("https://twitter.com/RamonMonteroPr2","@RamonMonteroPr2")</f>
        <v>@RamonMonteroPr2</v>
      </c>
      <c r="C1538" s="8" t="s">
        <v>5528</v>
      </c>
      <c r="D1538" s="9" t="s">
        <v>5529</v>
      </c>
      <c r="E1538" s="10" t="str">
        <f>HYPERLINK("https://twitter.com/RamonMonteroPr2/status/1070930985271861248","1070930985271861248")</f>
        <v>1070930985271861248</v>
      </c>
      <c r="F1538" s="11" t="s">
        <v>1591</v>
      </c>
      <c r="G1538" s="12"/>
      <c r="H1538" s="12"/>
      <c r="I1538" s="13">
        <v>0</v>
      </c>
      <c r="J1538" s="13">
        <v>0</v>
      </c>
      <c r="K1538" s="14" t="str">
        <f t="shared" ref="K1538:K1539" si="267">HYPERLINK("http://twitter.com/download/android","Twitter for Android")</f>
        <v>Twitter for Android</v>
      </c>
      <c r="L1538" s="13">
        <v>383</v>
      </c>
      <c r="M1538" s="13">
        <v>695</v>
      </c>
      <c r="N1538" s="13">
        <v>0</v>
      </c>
      <c r="O1538" s="15"/>
      <c r="P1538" s="6">
        <v>42392.012800925921</v>
      </c>
      <c r="Q1538" s="16" t="s">
        <v>26</v>
      </c>
      <c r="R1538" s="17" t="s">
        <v>5530</v>
      </c>
      <c r="S1538" s="12"/>
      <c r="T1538" s="12"/>
      <c r="U1538" s="10" t="str">
        <f>HYPERLINK("https://pbs.twimg.com/profile_images/1018626734785220614/19ahrqzR.jpg","View")</f>
        <v>View</v>
      </c>
    </row>
    <row r="1539" spans="1:21" ht="20.399999999999999">
      <c r="A1539" s="6">
        <v>43441.319525462968</v>
      </c>
      <c r="B1539" s="7" t="str">
        <f>HYPERLINK("https://twitter.com/FurtadoGarcia1","@FurtadoGarcia1")</f>
        <v>@FurtadoGarcia1</v>
      </c>
      <c r="C1539" s="8" t="s">
        <v>5531</v>
      </c>
      <c r="D1539" s="9" t="s">
        <v>5063</v>
      </c>
      <c r="E1539" s="10" t="str">
        <f>HYPERLINK("https://twitter.com/FurtadoGarcia1/status/1070930937763033088","1070930937763033088")</f>
        <v>1070930937763033088</v>
      </c>
      <c r="F1539" s="11" t="s">
        <v>5532</v>
      </c>
      <c r="G1539" s="12"/>
      <c r="H1539" s="12"/>
      <c r="I1539" s="13">
        <v>1</v>
      </c>
      <c r="J1539" s="13">
        <v>0</v>
      </c>
      <c r="K1539" s="14" t="str">
        <f t="shared" si="267"/>
        <v>Twitter for Android</v>
      </c>
      <c r="L1539" s="13">
        <v>180</v>
      </c>
      <c r="M1539" s="13">
        <v>520</v>
      </c>
      <c r="N1539" s="13">
        <v>1</v>
      </c>
      <c r="O1539" s="15"/>
      <c r="P1539" s="6">
        <v>41101.758854166663</v>
      </c>
      <c r="Q1539" s="12"/>
      <c r="R1539" s="17" t="s">
        <v>5533</v>
      </c>
      <c r="S1539" s="12"/>
      <c r="T1539" s="12"/>
      <c r="U1539" s="10" t="str">
        <f>HYPERLINK("https://pbs.twimg.com/profile_images/604909521048334336/YnsO2poX.jpg","View")</f>
        <v>View</v>
      </c>
    </row>
    <row r="1540" spans="1:21" ht="20.399999999999999">
      <c r="A1540" s="6">
        <v>43441.31731481482</v>
      </c>
      <c r="B1540" s="7" t="str">
        <f>HYPERLINK("https://twitter.com/Josvice40525072","@Josvice40525072")</f>
        <v>@Josvice40525072</v>
      </c>
      <c r="C1540" s="8" t="s">
        <v>5534</v>
      </c>
      <c r="D1540" s="9" t="s">
        <v>3317</v>
      </c>
      <c r="E1540" s="10" t="str">
        <f>HYPERLINK("https://twitter.com/Josvice40525072/status/1070930138123173888","1070930138123173888")</f>
        <v>1070930138123173888</v>
      </c>
      <c r="F1540" s="11" t="s">
        <v>5535</v>
      </c>
      <c r="G1540" s="12"/>
      <c r="H1540" s="12"/>
      <c r="I1540" s="13">
        <v>1</v>
      </c>
      <c r="J1540" s="13">
        <v>1</v>
      </c>
      <c r="K1540" s="14" t="str">
        <f>HYPERLINK("http://twitter.com","Twitter Web Client")</f>
        <v>Twitter Web Client</v>
      </c>
      <c r="L1540" s="13">
        <v>9</v>
      </c>
      <c r="M1540" s="13">
        <v>82</v>
      </c>
      <c r="N1540" s="13">
        <v>0</v>
      </c>
      <c r="O1540" s="15"/>
      <c r="P1540" s="6">
        <v>43124.915798611109</v>
      </c>
      <c r="Q1540" s="12"/>
      <c r="R1540" s="19"/>
      <c r="S1540" s="12"/>
      <c r="T1540" s="12"/>
      <c r="U1540" s="10" t="str">
        <f>HYPERLINK("https://pbs.twimg.com/profile_images/956272669732884487/3QYJBjHw.jpg","View")</f>
        <v>View</v>
      </c>
    </row>
    <row r="1541" spans="1:21" ht="40.799999999999997">
      <c r="A1541" s="6">
        <v>43441.316261574073</v>
      </c>
      <c r="B1541" s="7" t="str">
        <f>HYPERLINK("https://twitter.com/leandrosm31","@leandrosm31")</f>
        <v>@leandrosm31</v>
      </c>
      <c r="C1541" s="8" t="s">
        <v>339</v>
      </c>
      <c r="D1541" s="9" t="s">
        <v>5536</v>
      </c>
      <c r="E1541" s="10" t="str">
        <f>HYPERLINK("https://twitter.com/leandrosm31/status/1070929754822451200","1070929754822451200")</f>
        <v>1070929754822451200</v>
      </c>
      <c r="F1541" s="11" t="s">
        <v>467</v>
      </c>
      <c r="G1541" s="12"/>
      <c r="H1541" s="12"/>
      <c r="I1541" s="13">
        <v>1</v>
      </c>
      <c r="J1541" s="13">
        <v>2</v>
      </c>
      <c r="K1541" s="14" t="str">
        <f>HYPERLINK("http://twitter.com/download/android","Twitter for Android")</f>
        <v>Twitter for Android</v>
      </c>
      <c r="L1541" s="13">
        <v>1857</v>
      </c>
      <c r="M1541" s="13">
        <v>2122</v>
      </c>
      <c r="N1541" s="13">
        <v>6</v>
      </c>
      <c r="O1541" s="15"/>
      <c r="P1541" s="6">
        <v>43028.957638888889</v>
      </c>
      <c r="Q1541" s="12"/>
      <c r="R1541" s="19"/>
      <c r="S1541" s="12"/>
      <c r="T1541" s="12"/>
      <c r="U1541" s="10" t="str">
        <f>HYPERLINK("https://pbs.twimg.com/profile_images/924518683430604800/vCjgdbu3.jpg","View")</f>
        <v>View</v>
      </c>
    </row>
    <row r="1542" spans="1:21" ht="40.799999999999997">
      <c r="A1542" s="6">
        <v>43441.31554398148</v>
      </c>
      <c r="B1542" s="7" t="str">
        <f>HYPERLINK("https://twitter.com/zapper_news","@zapper_news")</f>
        <v>@zapper_news</v>
      </c>
      <c r="C1542" s="8" t="s">
        <v>23</v>
      </c>
      <c r="D1542" s="9" t="s">
        <v>203</v>
      </c>
      <c r="E1542" s="10" t="str">
        <f>HYPERLINK("https://twitter.com/zapper_news/status/1070929494351990784","1070929494351990784")</f>
        <v>1070929494351990784</v>
      </c>
      <c r="F1542" s="11" t="s">
        <v>62</v>
      </c>
      <c r="G1542" s="11" t="s">
        <v>206</v>
      </c>
      <c r="H1542" s="12"/>
      <c r="I1542" s="13">
        <v>0</v>
      </c>
      <c r="J1542" s="13">
        <v>0</v>
      </c>
      <c r="K1542" s="14" t="str">
        <f>HYPERLINK("http://www.tier.be","Stats Now")</f>
        <v>Stats Now</v>
      </c>
      <c r="L1542" s="13">
        <v>285</v>
      </c>
      <c r="M1542" s="13">
        <v>1845</v>
      </c>
      <c r="N1542" s="13">
        <v>0</v>
      </c>
      <c r="O1542" s="15"/>
      <c r="P1542" s="6">
        <v>42874.842048611114</v>
      </c>
      <c r="Q1542" s="16" t="s">
        <v>26</v>
      </c>
      <c r="R1542" s="17" t="s">
        <v>28</v>
      </c>
      <c r="S1542" s="11" t="s">
        <v>29</v>
      </c>
      <c r="T1542" s="12"/>
      <c r="U1542" s="10" t="str">
        <f>HYPERLINK("https://pbs.twimg.com/profile_images/1011404142210961408/ffUw_4XH.jpg","View")</f>
        <v>View</v>
      </c>
    </row>
    <row r="1543" spans="1:21" ht="40.799999999999997">
      <c r="A1543" s="6">
        <v>43441.315370370372</v>
      </c>
      <c r="B1543" s="7" t="str">
        <f>HYPERLINK("https://twitter.com/FJRL47","@FJRL47")</f>
        <v>@FJRL47</v>
      </c>
      <c r="C1543" s="8" t="s">
        <v>608</v>
      </c>
      <c r="D1543" s="9" t="s">
        <v>1524</v>
      </c>
      <c r="E1543" s="10" t="str">
        <f>HYPERLINK("https://twitter.com/FJRL47/status/1070929433219883008","1070929433219883008")</f>
        <v>1070929433219883008</v>
      </c>
      <c r="F1543" s="11" t="s">
        <v>5539</v>
      </c>
      <c r="G1543" s="11" t="s">
        <v>5540</v>
      </c>
      <c r="H1543" s="12"/>
      <c r="I1543" s="13">
        <v>0</v>
      </c>
      <c r="J1543" s="13">
        <v>0</v>
      </c>
      <c r="K1543" s="14" t="str">
        <f>HYPERLINK("https://dlvrit.com/","dlvr.it")</f>
        <v>dlvr.it</v>
      </c>
      <c r="L1543" s="13">
        <v>647</v>
      </c>
      <c r="M1543" s="13">
        <v>382</v>
      </c>
      <c r="N1543" s="13">
        <v>7</v>
      </c>
      <c r="O1543" s="15"/>
      <c r="P1543" s="6">
        <v>41230.845810185187</v>
      </c>
      <c r="Q1543" s="12"/>
      <c r="R1543" s="17" t="s">
        <v>614</v>
      </c>
      <c r="S1543" s="12"/>
      <c r="T1543" s="12"/>
      <c r="U1543" s="10" t="str">
        <f>HYPERLINK("https://pbs.twimg.com/profile_images/3020468986/43f69c4f604b226a9bdd4bb933fcb759.jpeg","View")</f>
        <v>View</v>
      </c>
    </row>
    <row r="1544" spans="1:21" ht="51">
      <c r="A1544" s="6">
        <v>43441.314317129625</v>
      </c>
      <c r="B1544" s="7" t="str">
        <f>HYPERLINK("https://twitter.com/Alvisepf","@Alvisepf")</f>
        <v>@Alvisepf</v>
      </c>
      <c r="C1544" s="8" t="s">
        <v>4984</v>
      </c>
      <c r="D1544" s="9" t="s">
        <v>5541</v>
      </c>
      <c r="E1544" s="10" t="str">
        <f>HYPERLINK("https://twitter.com/Alvisepf/status/1070929051777421312","1070929051777421312")</f>
        <v>1070929051777421312</v>
      </c>
      <c r="F1544" s="12"/>
      <c r="G1544" s="12"/>
      <c r="H1544" s="12"/>
      <c r="I1544" s="13">
        <v>726</v>
      </c>
      <c r="J1544" s="13">
        <v>1264</v>
      </c>
      <c r="K1544" s="14" t="str">
        <f>HYPERLINK("http://twitter.com/download/iphone","Twitter for iPhone")</f>
        <v>Twitter for iPhone</v>
      </c>
      <c r="L1544" s="13">
        <v>28880</v>
      </c>
      <c r="M1544" s="13">
        <v>2420</v>
      </c>
      <c r="N1544" s="13">
        <v>197</v>
      </c>
      <c r="O1544" s="15"/>
      <c r="P1544" s="6">
        <v>40610.909803240742</v>
      </c>
      <c r="Q1544" s="16" t="s">
        <v>4986</v>
      </c>
      <c r="R1544" s="17" t="s">
        <v>4987</v>
      </c>
      <c r="S1544" s="11" t="s">
        <v>4988</v>
      </c>
      <c r="T1544" s="12"/>
      <c r="U1544" s="10" t="str">
        <f>HYPERLINK("https://pbs.twimg.com/profile_images/852643697695109122/j82TbBkV.jpg","View")</f>
        <v>View</v>
      </c>
    </row>
    <row r="1545" spans="1:21" ht="20.399999999999999">
      <c r="A1545" s="6">
        <v>43441.31386574074</v>
      </c>
      <c r="B1545" s="7" t="str">
        <f>HYPERLINK("https://twitter.com/libre_mercado","@libre_mercado")</f>
        <v>@libre_mercado</v>
      </c>
      <c r="C1545" s="8" t="s">
        <v>5542</v>
      </c>
      <c r="D1545" s="9" t="s">
        <v>1524</v>
      </c>
      <c r="E1545" s="10" t="str">
        <f>HYPERLINK("https://twitter.com/libre_mercado/status/1070928889168326656","1070928889168326656")</f>
        <v>1070928889168326656</v>
      </c>
      <c r="F1545" s="11" t="s">
        <v>5543</v>
      </c>
      <c r="G1545" s="12"/>
      <c r="H1545" s="12"/>
      <c r="I1545" s="13">
        <v>20</v>
      </c>
      <c r="J1545" s="13">
        <v>9</v>
      </c>
      <c r="K1545" s="14" t="str">
        <f>HYPERLINK("https://dlvrit.com/","dlvr.it")</f>
        <v>dlvr.it</v>
      </c>
      <c r="L1545" s="13">
        <v>38218</v>
      </c>
      <c r="M1545" s="13">
        <v>146</v>
      </c>
      <c r="N1545" s="13">
        <v>928</v>
      </c>
      <c r="O1545" s="15"/>
      <c r="P1545" s="6">
        <v>40626.85796296296</v>
      </c>
      <c r="Q1545" s="16" t="s">
        <v>200</v>
      </c>
      <c r="R1545" s="17" t="s">
        <v>5544</v>
      </c>
      <c r="S1545" s="11" t="s">
        <v>5545</v>
      </c>
      <c r="T1545" s="12"/>
      <c r="U1545" s="10" t="str">
        <f>HYPERLINK("https://pbs.twimg.com/profile_images/2573780229/z3irk9fv0ipwdtxshugn.png","View")</f>
        <v>View</v>
      </c>
    </row>
    <row r="1546" spans="1:21" ht="20.399999999999999">
      <c r="A1546" s="6">
        <v>43441.313680555555</v>
      </c>
      <c r="B1546" s="7" t="str">
        <f>HYPERLINK("https://twitter.com/TurboNoticias","@TurboNoticias")</f>
        <v>@TurboNoticias</v>
      </c>
      <c r="C1546" s="8" t="s">
        <v>5546</v>
      </c>
      <c r="D1546" s="9" t="s">
        <v>4356</v>
      </c>
      <c r="E1546" s="10" t="str">
        <f>HYPERLINK("https://twitter.com/TurboNoticias/status/1070928821052936193","1070928821052936193")</f>
        <v>1070928821052936193</v>
      </c>
      <c r="F1546" s="11" t="s">
        <v>2409</v>
      </c>
      <c r="G1546" s="12"/>
      <c r="H1546" s="12"/>
      <c r="I1546" s="13">
        <v>0</v>
      </c>
      <c r="J1546" s="13">
        <v>0</v>
      </c>
      <c r="K1546" s="14" t="str">
        <f t="shared" ref="K1546:K1548" si="268">HYPERLINK("https://ifttt.com","IFTTT")</f>
        <v>IFTTT</v>
      </c>
      <c r="L1546" s="13">
        <v>965</v>
      </c>
      <c r="M1546" s="13">
        <v>853</v>
      </c>
      <c r="N1546" s="13">
        <v>72</v>
      </c>
      <c r="O1546" s="15"/>
      <c r="P1546" s="6">
        <v>41374.90861111111</v>
      </c>
      <c r="Q1546" s="12"/>
      <c r="R1546" s="17" t="s">
        <v>5547</v>
      </c>
      <c r="S1546" s="12"/>
      <c r="T1546" s="12"/>
      <c r="U1546" s="10" t="str">
        <f>HYPERLINK("https://pbs.twimg.com/profile_images/3503488030/f3fa72449e81ed8eb09fe5df9d6c5afe.jpeg","View")</f>
        <v>View</v>
      </c>
    </row>
    <row r="1547" spans="1:21" ht="40.799999999999997">
      <c r="A1547" s="6">
        <v>43441.311423611114</v>
      </c>
      <c r="B1547" s="7" t="str">
        <f>HYPERLINK("https://twitter.com/tio_chabo","@tio_chabo")</f>
        <v>@tio_chabo</v>
      </c>
      <c r="C1547" s="8" t="s">
        <v>5047</v>
      </c>
      <c r="D1547" s="9" t="s">
        <v>4356</v>
      </c>
      <c r="E1547" s="10" t="str">
        <f>HYPERLINK("https://twitter.com/tio_chabo/status/1070928002840756224","1070928002840756224")</f>
        <v>1070928002840756224</v>
      </c>
      <c r="F1547" s="11" t="s">
        <v>5292</v>
      </c>
      <c r="G1547" s="12"/>
      <c r="H1547" s="12"/>
      <c r="I1547" s="13">
        <v>0</v>
      </c>
      <c r="J1547" s="13">
        <v>0</v>
      </c>
      <c r="K1547" s="14" t="str">
        <f t="shared" si="268"/>
        <v>IFTTT</v>
      </c>
      <c r="L1547" s="13">
        <v>3112</v>
      </c>
      <c r="M1547" s="13">
        <v>3722</v>
      </c>
      <c r="N1547" s="13">
        <v>68</v>
      </c>
      <c r="O1547" s="15"/>
      <c r="P1547" s="6">
        <v>40964.769629629627</v>
      </c>
      <c r="Q1547" s="16" t="s">
        <v>5050</v>
      </c>
      <c r="R1547" s="17" t="s">
        <v>5051</v>
      </c>
      <c r="S1547" s="11" t="s">
        <v>5052</v>
      </c>
      <c r="T1547" s="12"/>
      <c r="U1547" s="10" t="str">
        <f>HYPERLINK("https://pbs.twimg.com/profile_images/837040061870833666/XUkKbbB4.jpg","View")</f>
        <v>View</v>
      </c>
    </row>
    <row r="1548" spans="1:21" ht="30.6">
      <c r="A1548" s="6">
        <v>43441.311400462961</v>
      </c>
      <c r="B1548" s="7" t="str">
        <f>HYPERLINK("https://twitter.com/NaranjitoExpres","@NaranjitoExpres")</f>
        <v>@NaranjitoExpres</v>
      </c>
      <c r="C1548" s="8" t="s">
        <v>5548</v>
      </c>
      <c r="D1548" s="9" t="s">
        <v>5549</v>
      </c>
      <c r="E1548" s="10" t="str">
        <f>HYPERLINK("https://twitter.com/NaranjitoExpres/status/1070927993168674816","1070927993168674816")</f>
        <v>1070927993168674816</v>
      </c>
      <c r="F1548" s="11" t="s">
        <v>5550</v>
      </c>
      <c r="G1548" s="12"/>
      <c r="H1548" s="12"/>
      <c r="I1548" s="13">
        <v>0</v>
      </c>
      <c r="J1548" s="13">
        <v>0</v>
      </c>
      <c r="K1548" s="14" t="str">
        <f t="shared" si="268"/>
        <v>IFTTT</v>
      </c>
      <c r="L1548" s="13">
        <v>1332</v>
      </c>
      <c r="M1548" s="13">
        <v>1186</v>
      </c>
      <c r="N1548" s="13">
        <v>8</v>
      </c>
      <c r="O1548" s="15"/>
      <c r="P1548" s="6">
        <v>42301.67768518519</v>
      </c>
      <c r="Q1548" s="16" t="s">
        <v>26</v>
      </c>
      <c r="R1548" s="17" t="s">
        <v>5552</v>
      </c>
      <c r="S1548" s="11" t="s">
        <v>291</v>
      </c>
      <c r="T1548" s="12"/>
      <c r="U1548" s="10" t="str">
        <f>HYPERLINK("https://pbs.twimg.com/profile_images/894744160279941120/fVCv-yaU.jpg","View")</f>
        <v>View</v>
      </c>
    </row>
    <row r="1549" spans="1:21" ht="30.6">
      <c r="A1549" s="6">
        <v>43441.311157407406</v>
      </c>
      <c r="B1549" s="7" t="str">
        <f>HYPERLINK("https://twitter.com/UrretaJorge","@UrretaJorge")</f>
        <v>@UrretaJorge</v>
      </c>
      <c r="C1549" s="8" t="s">
        <v>5554</v>
      </c>
      <c r="D1549" s="9" t="s">
        <v>1903</v>
      </c>
      <c r="E1549" s="10" t="str">
        <f>HYPERLINK("https://twitter.com/UrretaJorge/status/1070927906891739136","1070927906891739136")</f>
        <v>1070927906891739136</v>
      </c>
      <c r="F1549" s="11" t="s">
        <v>5555</v>
      </c>
      <c r="G1549" s="11" t="s">
        <v>5556</v>
      </c>
      <c r="H1549" s="12"/>
      <c r="I1549" s="13">
        <v>0</v>
      </c>
      <c r="J1549" s="13">
        <v>0</v>
      </c>
      <c r="K1549" s="14" t="str">
        <f>HYPERLINK("https://dlvrit.com/","dlvr.it")</f>
        <v>dlvr.it</v>
      </c>
      <c r="L1549" s="13">
        <v>6180</v>
      </c>
      <c r="M1549" s="13">
        <v>6333</v>
      </c>
      <c r="N1549" s="13">
        <v>116</v>
      </c>
      <c r="O1549" s="15"/>
      <c r="P1549" s="6">
        <v>41216.774305555555</v>
      </c>
      <c r="Q1549" s="16" t="s">
        <v>5557</v>
      </c>
      <c r="R1549" s="17" t="s">
        <v>5558</v>
      </c>
      <c r="S1549" s="11" t="s">
        <v>5559</v>
      </c>
      <c r="T1549" s="12"/>
      <c r="U1549" s="10" t="str">
        <f>HYPERLINK("https://pbs.twimg.com/profile_images/636651341385965569/1AdINThO.jpg","View")</f>
        <v>View</v>
      </c>
    </row>
    <row r="1550" spans="1:21" ht="40.799999999999997">
      <c r="A1550" s="6">
        <v>43441.310520833329</v>
      </c>
      <c r="B1550" s="7" t="str">
        <f>HYPERLINK("https://twitter.com/juanlayda","@juanlayda")</f>
        <v>@juanlayda</v>
      </c>
      <c r="C1550" s="8" t="s">
        <v>5560</v>
      </c>
      <c r="D1550" s="9" t="s">
        <v>2213</v>
      </c>
      <c r="E1550" s="10" t="str">
        <f>HYPERLINK("https://twitter.com/juanlayda/status/1070927677937336320","1070927677937336320")</f>
        <v>1070927677937336320</v>
      </c>
      <c r="F1550" s="11" t="s">
        <v>2214</v>
      </c>
      <c r="G1550" s="12"/>
      <c r="H1550" s="12"/>
      <c r="I1550" s="13">
        <v>0</v>
      </c>
      <c r="J1550" s="13">
        <v>0</v>
      </c>
      <c r="K1550" s="14" t="str">
        <f t="shared" ref="K1550:K1551" si="269">HYPERLINK("http://twitter.com","Twitter Web Client")</f>
        <v>Twitter Web Client</v>
      </c>
      <c r="L1550" s="13">
        <v>909</v>
      </c>
      <c r="M1550" s="13">
        <v>1810</v>
      </c>
      <c r="N1550" s="13">
        <v>48</v>
      </c>
      <c r="O1550" s="15"/>
      <c r="P1550" s="6">
        <v>41240.66578703704</v>
      </c>
      <c r="Q1550" s="16" t="s">
        <v>26</v>
      </c>
      <c r="R1550" s="17" t="s">
        <v>5561</v>
      </c>
      <c r="S1550" s="11" t="s">
        <v>5562</v>
      </c>
      <c r="T1550" s="12"/>
      <c r="U1550" s="10" t="str">
        <f>HYPERLINK("https://pbs.twimg.com/profile_images/662359421230673920/PjFlILV5.jpg","View")</f>
        <v>View</v>
      </c>
    </row>
    <row r="1551" spans="1:21" ht="40.799999999999997">
      <c r="A1551" s="6">
        <v>43441.310439814813</v>
      </c>
      <c r="B1551" s="7" t="str">
        <f>HYPERLINK("https://twitter.com/AltoInvasion","@AltoInvasion")</f>
        <v>@AltoInvasion</v>
      </c>
      <c r="C1551" s="8" t="s">
        <v>5563</v>
      </c>
      <c r="D1551" s="9" t="s">
        <v>5564</v>
      </c>
      <c r="E1551" s="10" t="str">
        <f>HYPERLINK("https://twitter.com/AltoInvasion/status/1070927646777729025","1070927646777729025")</f>
        <v>1070927646777729025</v>
      </c>
      <c r="F1551" s="12"/>
      <c r="G1551" s="12"/>
      <c r="H1551" s="12"/>
      <c r="I1551" s="13">
        <v>0</v>
      </c>
      <c r="J1551" s="13">
        <v>0</v>
      </c>
      <c r="K1551" s="14" t="str">
        <f t="shared" si="269"/>
        <v>Twitter Web Client</v>
      </c>
      <c r="L1551" s="13">
        <v>13</v>
      </c>
      <c r="M1551" s="13">
        <v>6</v>
      </c>
      <c r="N1551" s="13">
        <v>0</v>
      </c>
      <c r="O1551" s="15"/>
      <c r="P1551" s="6">
        <v>43403.0159837963</v>
      </c>
      <c r="Q1551" s="12"/>
      <c r="R1551" s="19"/>
      <c r="S1551" s="12"/>
      <c r="T1551" s="12"/>
      <c r="U1551" s="10" t="str">
        <f>HYPERLINK("https://pbs.twimg.com/profile_images/1057328409280270336/MPGj2AAf.jpg","View")</f>
        <v>View</v>
      </c>
    </row>
    <row r="1552" spans="1:21" ht="30.6">
      <c r="A1552" s="6">
        <v>43441.308865740742</v>
      </c>
      <c r="B1552" s="7" t="str">
        <f>HYPERLINK("https://twitter.com/periodicovzlano","@periodicovzlano")</f>
        <v>@periodicovzlano</v>
      </c>
      <c r="C1552" s="8" t="s">
        <v>869</v>
      </c>
      <c r="D1552" s="9" t="s">
        <v>3001</v>
      </c>
      <c r="E1552" s="10" t="str">
        <f>HYPERLINK("https://twitter.com/periodicovzlano/status/1070927074527989760","1070927074527989760")</f>
        <v>1070927074527989760</v>
      </c>
      <c r="F1552" s="11" t="s">
        <v>2757</v>
      </c>
      <c r="G1552" s="11" t="s">
        <v>5565</v>
      </c>
      <c r="H1552" s="12"/>
      <c r="I1552" s="13">
        <v>0</v>
      </c>
      <c r="J1552" s="13">
        <v>0</v>
      </c>
      <c r="K1552" s="14" t="str">
        <f>HYPERLINK("http://epmundo.com","Tuiteo TOP EP (1)")</f>
        <v>Tuiteo TOP EP (1)</v>
      </c>
      <c r="L1552" s="13">
        <v>479694</v>
      </c>
      <c r="M1552" s="13">
        <v>358804</v>
      </c>
      <c r="N1552" s="13">
        <v>1295</v>
      </c>
      <c r="O1552" s="15"/>
      <c r="P1552" s="6">
        <v>40663.3512962963</v>
      </c>
      <c r="Q1552" s="16" t="s">
        <v>871</v>
      </c>
      <c r="R1552" s="17" t="s">
        <v>872</v>
      </c>
      <c r="S1552" s="11" t="s">
        <v>873</v>
      </c>
      <c r="T1552" s="12"/>
      <c r="U1552" s="10" t="str">
        <f>HYPERLINK("https://pbs.twimg.com/profile_images/958328579250638849/MCz7Q8U6.jpg","View")</f>
        <v>View</v>
      </c>
    </row>
    <row r="1553" spans="1:21" ht="20.399999999999999">
      <c r="A1553" s="6">
        <v>43441.308252314819</v>
      </c>
      <c r="B1553" s="7" t="str">
        <f>HYPERLINK("https://twitter.com/eldiarioes","@eldiarioes")</f>
        <v>@eldiarioes</v>
      </c>
      <c r="C1553" s="20" t="s">
        <v>642</v>
      </c>
      <c r="D1553" s="9" t="s">
        <v>5566</v>
      </c>
      <c r="E1553" s="10" t="str">
        <f>HYPERLINK("https://twitter.com/eldiarioes/status/1070926855564337152","1070926855564337152")</f>
        <v>1070926855564337152</v>
      </c>
      <c r="F1553" s="11" t="s">
        <v>2409</v>
      </c>
      <c r="G1553" s="11" t="s">
        <v>5568</v>
      </c>
      <c r="H1553" s="12"/>
      <c r="I1553" s="13">
        <v>4</v>
      </c>
      <c r="J1553" s="13">
        <v>4</v>
      </c>
      <c r="K1553" s="14" t="str">
        <f>HYPERLINK("https://about.twitter.com/products/tweetdeck","TweetDeck")</f>
        <v>TweetDeck</v>
      </c>
      <c r="L1553" s="13">
        <v>940167</v>
      </c>
      <c r="M1553" s="13">
        <v>456</v>
      </c>
      <c r="N1553" s="13">
        <v>11262</v>
      </c>
      <c r="O1553" s="18" t="s">
        <v>41</v>
      </c>
      <c r="P1553" s="6">
        <v>40992.839189814811</v>
      </c>
      <c r="Q1553" s="12"/>
      <c r="R1553" s="17" t="s">
        <v>643</v>
      </c>
      <c r="S1553" s="11" t="s">
        <v>644</v>
      </c>
      <c r="T1553" s="12"/>
      <c r="U1553" s="10" t="str">
        <f>HYPERLINK("https://pbs.twimg.com/profile_images/1016600645292511232/eYIkIK2s.jpg","View")</f>
        <v>View</v>
      </c>
    </row>
    <row r="1554" spans="1:21" ht="40.799999999999997">
      <c r="A1554" s="6">
        <v>43441.299629629633</v>
      </c>
      <c r="B1554" s="7" t="str">
        <f>HYPERLINK("https://twitter.com/VeoInfo_","@VeoInfo_")</f>
        <v>@VeoInfo_</v>
      </c>
      <c r="C1554" s="8" t="s">
        <v>2627</v>
      </c>
      <c r="D1554" s="9" t="s">
        <v>4356</v>
      </c>
      <c r="E1554" s="10" t="str">
        <f>HYPERLINK("https://twitter.com/VeoInfo_/status/1070923730522726400","1070923730522726400")</f>
        <v>1070923730522726400</v>
      </c>
      <c r="F1554" s="11" t="s">
        <v>5569</v>
      </c>
      <c r="G1554" s="11" t="s">
        <v>5570</v>
      </c>
      <c r="H1554" s="12"/>
      <c r="I1554" s="13">
        <v>0</v>
      </c>
      <c r="J1554" s="13">
        <v>0</v>
      </c>
      <c r="K1554" s="14" t="str">
        <f>HYPERLINK("http://publicize.wp.com/","WordPress.com")</f>
        <v>WordPress.com</v>
      </c>
      <c r="L1554" s="13">
        <v>1135</v>
      </c>
      <c r="M1554" s="13">
        <v>1139</v>
      </c>
      <c r="N1554" s="13">
        <v>37</v>
      </c>
      <c r="O1554" s="15"/>
      <c r="P1554" s="6">
        <v>41881.101840277777</v>
      </c>
      <c r="Q1554" s="16" t="s">
        <v>2629</v>
      </c>
      <c r="R1554" s="17" t="s">
        <v>2630</v>
      </c>
      <c r="S1554" s="11" t="s">
        <v>2631</v>
      </c>
      <c r="T1554" s="12"/>
      <c r="U1554" s="10" t="str">
        <f>HYPERLINK("https://pbs.twimg.com/profile_images/601509372305485827/Val0dfGy.png","View")</f>
        <v>View</v>
      </c>
    </row>
    <row r="1555" spans="1:21" ht="40.799999999999997">
      <c r="A1555" s="6">
        <v>43441.297916666663</v>
      </c>
      <c r="B1555" s="7" t="str">
        <f>HYPERLINK("https://twitter.com/alcalacesar1965","@alcalacesar1965")</f>
        <v>@alcalacesar1965</v>
      </c>
      <c r="C1555" s="8" t="s">
        <v>5571</v>
      </c>
      <c r="D1555" s="9" t="s">
        <v>5572</v>
      </c>
      <c r="E1555" s="10" t="str">
        <f>HYPERLINK("https://twitter.com/alcalacesar1965/status/1070923107198738433","1070923107198738433")</f>
        <v>1070923107198738433</v>
      </c>
      <c r="F1555" s="12"/>
      <c r="G1555" s="12"/>
      <c r="H1555" s="12"/>
      <c r="I1555" s="13">
        <v>6</v>
      </c>
      <c r="J1555" s="13">
        <v>8</v>
      </c>
      <c r="K1555" s="14" t="str">
        <f>HYPERLINK("http://twitter.com","Twitter Web Client")</f>
        <v>Twitter Web Client</v>
      </c>
      <c r="L1555" s="13">
        <v>1836</v>
      </c>
      <c r="M1555" s="13">
        <v>2716</v>
      </c>
      <c r="N1555" s="13">
        <v>11</v>
      </c>
      <c r="O1555" s="15"/>
      <c r="P1555" s="6">
        <v>41779.551747685182</v>
      </c>
      <c r="Q1555" s="12"/>
      <c r="R1555" s="17" t="s">
        <v>5573</v>
      </c>
      <c r="S1555" s="12"/>
      <c r="T1555" s="12"/>
      <c r="U1555" s="10" t="str">
        <f>HYPERLINK("https://pbs.twimg.com/profile_images/643843690218262528/NHyHwE6f.jpg","View")</f>
        <v>View</v>
      </c>
    </row>
    <row r="1556" spans="1:21" ht="30.6">
      <c r="A1556" s="6">
        <v>43441.296377314815</v>
      </c>
      <c r="B1556" s="7" t="str">
        <f>HYPERLINK("https://twitter.com/fazuku59","@fazuku59")</f>
        <v>@fazuku59</v>
      </c>
      <c r="C1556" s="8" t="s">
        <v>5574</v>
      </c>
      <c r="D1556" s="9" t="s">
        <v>3317</v>
      </c>
      <c r="E1556" s="10" t="str">
        <f>HYPERLINK("https://twitter.com/fazuku59/status/1070922550828548097","1070922550828548097")</f>
        <v>1070922550828548097</v>
      </c>
      <c r="F1556" s="11" t="s">
        <v>5575</v>
      </c>
      <c r="G1556" s="12"/>
      <c r="H1556" s="12"/>
      <c r="I1556" s="13">
        <v>0</v>
      </c>
      <c r="J1556" s="13">
        <v>0</v>
      </c>
      <c r="K1556" s="14" t="str">
        <f t="shared" ref="K1556:K1557" si="270">HYPERLINK("http://twitter.com/download/android","Twitter for Android")</f>
        <v>Twitter for Android</v>
      </c>
      <c r="L1556" s="13">
        <v>1686</v>
      </c>
      <c r="M1556" s="13">
        <v>1696</v>
      </c>
      <c r="N1556" s="13">
        <v>23</v>
      </c>
      <c r="O1556" s="15"/>
      <c r="P1556" s="6">
        <v>40914.05064814815</v>
      </c>
      <c r="Q1556" s="16" t="s">
        <v>325</v>
      </c>
      <c r="R1556" s="17" t="s">
        <v>5576</v>
      </c>
      <c r="S1556" s="12"/>
      <c r="T1556" s="12"/>
      <c r="U1556" s="10" t="str">
        <f>HYPERLINK("https://pbs.twimg.com/profile_images/588371330854219776/IRClGjuh.jpg","View")</f>
        <v>View</v>
      </c>
    </row>
    <row r="1557" spans="1:21" ht="20.399999999999999">
      <c r="A1557" s="6">
        <v>43441.295740740738</v>
      </c>
      <c r="B1557" s="7" t="str">
        <f>HYPERLINK("https://twitter.com/Espina11041959","@Espina11041959")</f>
        <v>@Espina11041959</v>
      </c>
      <c r="C1557" s="8" t="s">
        <v>5577</v>
      </c>
      <c r="D1557" s="9" t="s">
        <v>3317</v>
      </c>
      <c r="E1557" s="10" t="str">
        <f>HYPERLINK("https://twitter.com/Espina11041959/status/1070922319806242816","1070922319806242816")</f>
        <v>1070922319806242816</v>
      </c>
      <c r="F1557" s="11" t="s">
        <v>5578</v>
      </c>
      <c r="G1557" s="12"/>
      <c r="H1557" s="12"/>
      <c r="I1557" s="13">
        <v>1</v>
      </c>
      <c r="J1557" s="13">
        <v>1</v>
      </c>
      <c r="K1557" s="14" t="str">
        <f t="shared" si="270"/>
        <v>Twitter for Android</v>
      </c>
      <c r="L1557" s="13">
        <v>1510</v>
      </c>
      <c r="M1557" s="13">
        <v>1847</v>
      </c>
      <c r="N1557" s="13">
        <v>15</v>
      </c>
      <c r="O1557" s="15"/>
      <c r="P1557" s="6">
        <v>42990.442118055551</v>
      </c>
      <c r="Q1557" s="16" t="s">
        <v>5579</v>
      </c>
      <c r="R1557" s="17" t="s">
        <v>5580</v>
      </c>
      <c r="S1557" s="12"/>
      <c r="T1557" s="12"/>
      <c r="U1557" s="10" t="str">
        <f>HYPERLINK("https://pbs.twimg.com/profile_images/1051010843821965312/ky5T_kkT.jpg","View")</f>
        <v>View</v>
      </c>
    </row>
    <row r="1558" spans="1:21" ht="40.799999999999997">
      <c r="A1558" s="6">
        <v>43441.293958333335</v>
      </c>
      <c r="B1558" s="7" t="str">
        <f>HYPERLINK("https://twitter.com/Enrique15121960","@Enrique15121960")</f>
        <v>@Enrique15121960</v>
      </c>
      <c r="C1558" s="8" t="s">
        <v>5581</v>
      </c>
      <c r="D1558" s="9" t="s">
        <v>5582</v>
      </c>
      <c r="E1558" s="10" t="str">
        <f>HYPERLINK("https://twitter.com/Enrique15121960/status/1070921673950552064","1070921673950552064")</f>
        <v>1070921673950552064</v>
      </c>
      <c r="F1558" s="12"/>
      <c r="G1558" s="11" t="s">
        <v>5583</v>
      </c>
      <c r="H1558" s="12"/>
      <c r="I1558" s="13">
        <v>0</v>
      </c>
      <c r="J1558" s="13">
        <v>0</v>
      </c>
      <c r="K1558" s="14" t="str">
        <f>HYPERLINK("http://twitter.com","Twitter Web Client")</f>
        <v>Twitter Web Client</v>
      </c>
      <c r="L1558" s="13">
        <v>8206</v>
      </c>
      <c r="M1558" s="13">
        <v>9194</v>
      </c>
      <c r="N1558" s="13">
        <v>11</v>
      </c>
      <c r="O1558" s="15"/>
      <c r="P1558" s="6">
        <v>42821.340474537035</v>
      </c>
      <c r="Q1558" s="16" t="s">
        <v>427</v>
      </c>
      <c r="R1558" s="17" t="s">
        <v>5584</v>
      </c>
      <c r="S1558" s="12"/>
      <c r="T1558" s="12"/>
      <c r="U1558" s="10" t="str">
        <f>HYPERLINK("https://pbs.twimg.com/profile_images/1015139471837335552/UOPLf0Aq.jpg","View")</f>
        <v>View</v>
      </c>
    </row>
    <row r="1559" spans="1:21" ht="30.6">
      <c r="A1559" s="6">
        <v>43441.292256944449</v>
      </c>
      <c r="B1559" s="7" t="str">
        <f>HYPERLINK("https://twitter.com/g_palmira","@g_palmira")</f>
        <v>@g_palmira</v>
      </c>
      <c r="C1559" s="8" t="s">
        <v>5585</v>
      </c>
      <c r="D1559" s="9" t="s">
        <v>5586</v>
      </c>
      <c r="E1559" s="10" t="str">
        <f>HYPERLINK("https://twitter.com/g_palmira/status/1070921059115941888","1070921059115941888")</f>
        <v>1070921059115941888</v>
      </c>
      <c r="F1559" s="11" t="s">
        <v>4815</v>
      </c>
      <c r="G1559" s="12"/>
      <c r="H1559" s="12"/>
      <c r="I1559" s="13">
        <v>0</v>
      </c>
      <c r="J1559" s="13">
        <v>0</v>
      </c>
      <c r="K1559" s="14" t="str">
        <f>HYPERLINK("http://twitter.com/#!/download/ipad","Twitter for iPad")</f>
        <v>Twitter for iPad</v>
      </c>
      <c r="L1559" s="13">
        <v>1460</v>
      </c>
      <c r="M1559" s="13">
        <v>1448</v>
      </c>
      <c r="N1559" s="13">
        <v>0</v>
      </c>
      <c r="O1559" s="15"/>
      <c r="P1559" s="6">
        <v>41005.74019675926</v>
      </c>
      <c r="Q1559" s="12"/>
      <c r="R1559" s="17" t="s">
        <v>5587</v>
      </c>
      <c r="S1559" s="12"/>
      <c r="T1559" s="12"/>
      <c r="U1559" s="10" t="str">
        <f>HYPERLINK("https://pbs.twimg.com/profile_images/1057639071927885824/O5EfhEom.jpg","View")</f>
        <v>View</v>
      </c>
    </row>
    <row r="1560" spans="1:21" ht="40.799999999999997">
      <c r="A1560" s="6">
        <v>43441.292048611111</v>
      </c>
      <c r="B1560" s="7" t="str">
        <f>HYPERLINK("https://twitter.com/nicolasfabelo","@nicolasfabelo")</f>
        <v>@nicolasfabelo</v>
      </c>
      <c r="C1560" s="8" t="s">
        <v>5588</v>
      </c>
      <c r="D1560" s="9" t="s">
        <v>5589</v>
      </c>
      <c r="E1560" s="10" t="str">
        <f>HYPERLINK("https://twitter.com/nicolasfabelo/status/1070920981517135872","1070920981517135872")</f>
        <v>1070920981517135872</v>
      </c>
      <c r="F1560" s="11" t="s">
        <v>1185</v>
      </c>
      <c r="G1560" s="12"/>
      <c r="H1560" s="12"/>
      <c r="I1560" s="13">
        <v>0</v>
      </c>
      <c r="J1560" s="13">
        <v>0</v>
      </c>
      <c r="K1560" s="14" t="str">
        <f>HYPERLINK("http://twitter.com/download/android","Twitter for Android")</f>
        <v>Twitter for Android</v>
      </c>
      <c r="L1560" s="13">
        <v>711</v>
      </c>
      <c r="M1560" s="13">
        <v>828</v>
      </c>
      <c r="N1560" s="13">
        <v>26</v>
      </c>
      <c r="O1560" s="15"/>
      <c r="P1560" s="6">
        <v>40381.452962962961</v>
      </c>
      <c r="Q1560" s="16" t="s">
        <v>5590</v>
      </c>
      <c r="R1560" s="17" t="s">
        <v>5591</v>
      </c>
      <c r="S1560" s="11" t="s">
        <v>5592</v>
      </c>
      <c r="T1560" s="12"/>
      <c r="U1560" s="10" t="str">
        <f>HYPERLINK("https://pbs.twimg.com/profile_images/909838346016448513/hruf_Z6M.jpg","View")</f>
        <v>View</v>
      </c>
    </row>
    <row r="1561" spans="1:21" ht="30.6">
      <c r="A1561" s="6">
        <v>43441.288159722222</v>
      </c>
      <c r="B1561" s="7" t="str">
        <f>HYPERLINK("https://twitter.com/miguelcanabal","@miguelcanabal")</f>
        <v>@miguelcanabal</v>
      </c>
      <c r="C1561" s="8" t="s">
        <v>5593</v>
      </c>
      <c r="D1561" s="9" t="s">
        <v>5594</v>
      </c>
      <c r="E1561" s="10" t="str">
        <f>HYPERLINK("https://twitter.com/miguelcanabal/status/1070919571413065729","1070919571413065729")</f>
        <v>1070919571413065729</v>
      </c>
      <c r="F1561" s="11" t="s">
        <v>5595</v>
      </c>
      <c r="G1561" s="12"/>
      <c r="H1561" s="12"/>
      <c r="I1561" s="13">
        <v>0</v>
      </c>
      <c r="J1561" s="13">
        <v>0</v>
      </c>
      <c r="K1561" s="14" t="str">
        <f t="shared" ref="K1561:K1563" si="271">HYPERLINK("http://twitter.com/download/iphone","Twitter for iPhone")</f>
        <v>Twitter for iPhone</v>
      </c>
      <c r="L1561" s="13">
        <v>1385</v>
      </c>
      <c r="M1561" s="13">
        <v>806</v>
      </c>
      <c r="N1561" s="13">
        <v>23</v>
      </c>
      <c r="O1561" s="15"/>
      <c r="P1561" s="6">
        <v>41549.853263888886</v>
      </c>
      <c r="Q1561" s="16" t="s">
        <v>5596</v>
      </c>
      <c r="R1561" s="17" t="s">
        <v>5597</v>
      </c>
      <c r="S1561" s="12"/>
      <c r="T1561" s="12"/>
      <c r="U1561" s="10" t="str">
        <f>HYPERLINK("https://pbs.twimg.com/profile_images/378800000539186970/2a820c480335778b08c57ba3f2926cb0.jpeg","View")</f>
        <v>View</v>
      </c>
    </row>
    <row r="1562" spans="1:21" ht="20.399999999999999">
      <c r="A1562" s="6">
        <v>43441.287662037037</v>
      </c>
      <c r="B1562" s="7" t="str">
        <f>HYPERLINK("https://twitter.com/Charlie49853142","@Charlie49853142")</f>
        <v>@Charlie49853142</v>
      </c>
      <c r="C1562" s="8" t="s">
        <v>5598</v>
      </c>
      <c r="D1562" s="9" t="s">
        <v>4416</v>
      </c>
      <c r="E1562" s="10" t="str">
        <f>HYPERLINK("https://twitter.com/Charlie49853142/status/1070919392739897344","1070919392739897344")</f>
        <v>1070919392739897344</v>
      </c>
      <c r="F1562" s="11" t="s">
        <v>5599</v>
      </c>
      <c r="G1562" s="12"/>
      <c r="H1562" s="12"/>
      <c r="I1562" s="13">
        <v>0</v>
      </c>
      <c r="J1562" s="13">
        <v>0</v>
      </c>
      <c r="K1562" s="14" t="str">
        <f t="shared" si="271"/>
        <v>Twitter for iPhone</v>
      </c>
      <c r="L1562" s="13">
        <v>23</v>
      </c>
      <c r="M1562" s="13">
        <v>136</v>
      </c>
      <c r="N1562" s="13">
        <v>0</v>
      </c>
      <c r="O1562" s="15"/>
      <c r="P1562" s="6">
        <v>43346.668032407411</v>
      </c>
      <c r="Q1562" s="16" t="s">
        <v>5600</v>
      </c>
      <c r="R1562" s="17" t="s">
        <v>5601</v>
      </c>
      <c r="S1562" s="12"/>
      <c r="T1562" s="12"/>
      <c r="U1562" s="10" t="str">
        <f>HYPERLINK("https://pbs.twimg.com/profile_images/1036618657718304768/uOdUtGYM.jpg","View")</f>
        <v>View</v>
      </c>
    </row>
    <row r="1563" spans="1:21" ht="30.6">
      <c r="A1563" s="6">
        <v>43441.28361111111</v>
      </c>
      <c r="B1563" s="7" t="str">
        <f>HYPERLINK("https://twitter.com/miguelcanabal","@miguelcanabal")</f>
        <v>@miguelcanabal</v>
      </c>
      <c r="C1563" s="8" t="s">
        <v>5593</v>
      </c>
      <c r="D1563" s="9" t="s">
        <v>2521</v>
      </c>
      <c r="E1563" s="10" t="str">
        <f>HYPERLINK("https://twitter.com/miguelcanabal/status/1070917924456665089","1070917924456665089")</f>
        <v>1070917924456665089</v>
      </c>
      <c r="F1563" s="11" t="s">
        <v>2522</v>
      </c>
      <c r="G1563" s="12"/>
      <c r="H1563" s="12"/>
      <c r="I1563" s="13">
        <v>0</v>
      </c>
      <c r="J1563" s="13">
        <v>0</v>
      </c>
      <c r="K1563" s="14" t="str">
        <f t="shared" si="271"/>
        <v>Twitter for iPhone</v>
      </c>
      <c r="L1563" s="13">
        <v>1385</v>
      </c>
      <c r="M1563" s="13">
        <v>806</v>
      </c>
      <c r="N1563" s="13">
        <v>23</v>
      </c>
      <c r="O1563" s="15"/>
      <c r="P1563" s="6">
        <v>41549.853263888886</v>
      </c>
      <c r="Q1563" s="16" t="s">
        <v>5596</v>
      </c>
      <c r="R1563" s="17" t="s">
        <v>5597</v>
      </c>
      <c r="S1563" s="12"/>
      <c r="T1563" s="12"/>
      <c r="U1563" s="10" t="str">
        <f>HYPERLINK("https://pbs.twimg.com/profile_images/378800000539186970/2a820c480335778b08c57ba3f2926cb0.jpeg","View")</f>
        <v>View</v>
      </c>
    </row>
    <row r="1564" spans="1:21" ht="20.399999999999999">
      <c r="A1564" s="6">
        <v>43441.278865740736</v>
      </c>
      <c r="B1564" s="7" t="str">
        <f t="shared" ref="B1564:B1566" si="272">HYPERLINK("https://twitter.com/mathusal9","@mathusal9")</f>
        <v>@mathusal9</v>
      </c>
      <c r="C1564" s="8" t="s">
        <v>5602</v>
      </c>
      <c r="D1564" s="9" t="s">
        <v>4627</v>
      </c>
      <c r="E1564" s="10" t="str">
        <f>HYPERLINK("https://twitter.com/mathusal9/status/1070916204230000640","1070916204230000640")</f>
        <v>1070916204230000640</v>
      </c>
      <c r="F1564" s="11" t="s">
        <v>4628</v>
      </c>
      <c r="G1564" s="12"/>
      <c r="H1564" s="12"/>
      <c r="I1564" s="13">
        <v>0</v>
      </c>
      <c r="J1564" s="13">
        <v>0</v>
      </c>
      <c r="K1564" s="14" t="str">
        <f t="shared" ref="K1564:K1566" si="273">HYPERLINK("http://twitter.com","Twitter Web Client")</f>
        <v>Twitter Web Client</v>
      </c>
      <c r="L1564" s="13">
        <v>704</v>
      </c>
      <c r="M1564" s="13">
        <v>1803</v>
      </c>
      <c r="N1564" s="13">
        <v>3</v>
      </c>
      <c r="O1564" s="15"/>
      <c r="P1564" s="6">
        <v>43049.798819444448</v>
      </c>
      <c r="Q1564" s="16" t="s">
        <v>797</v>
      </c>
      <c r="R1564" s="17" t="s">
        <v>5603</v>
      </c>
      <c r="S1564" s="12"/>
      <c r="T1564" s="12"/>
      <c r="U1564" s="10" t="str">
        <f t="shared" ref="U1564:U1566" si="274">HYPERLINK("https://pbs.twimg.com/profile_images/936494587761385472/4QRLIAtv.jpg","View")</f>
        <v>View</v>
      </c>
    </row>
    <row r="1565" spans="1:21" ht="30.6">
      <c r="A1565" s="6">
        <v>43441.27851851852</v>
      </c>
      <c r="B1565" s="7" t="str">
        <f t="shared" si="272"/>
        <v>@mathusal9</v>
      </c>
      <c r="C1565" s="8" t="s">
        <v>5602</v>
      </c>
      <c r="D1565" s="9" t="s">
        <v>1514</v>
      </c>
      <c r="E1565" s="10" t="str">
        <f>HYPERLINK("https://twitter.com/mathusal9/status/1070916078182785024","1070916078182785024")</f>
        <v>1070916078182785024</v>
      </c>
      <c r="F1565" s="11" t="s">
        <v>246</v>
      </c>
      <c r="G1565" s="12"/>
      <c r="H1565" s="12"/>
      <c r="I1565" s="13">
        <v>0</v>
      </c>
      <c r="J1565" s="13">
        <v>0</v>
      </c>
      <c r="K1565" s="14" t="str">
        <f t="shared" si="273"/>
        <v>Twitter Web Client</v>
      </c>
      <c r="L1565" s="13">
        <v>704</v>
      </c>
      <c r="M1565" s="13">
        <v>1803</v>
      </c>
      <c r="N1565" s="13">
        <v>3</v>
      </c>
      <c r="O1565" s="15"/>
      <c r="P1565" s="6">
        <v>43049.798819444448</v>
      </c>
      <c r="Q1565" s="16" t="s">
        <v>797</v>
      </c>
      <c r="R1565" s="17" t="s">
        <v>5603</v>
      </c>
      <c r="S1565" s="12"/>
      <c r="T1565" s="12"/>
      <c r="U1565" s="10" t="str">
        <f t="shared" si="274"/>
        <v>View</v>
      </c>
    </row>
    <row r="1566" spans="1:21" ht="20.399999999999999">
      <c r="A1566" s="6">
        <v>43441.277546296296</v>
      </c>
      <c r="B1566" s="7" t="str">
        <f t="shared" si="272"/>
        <v>@mathusal9</v>
      </c>
      <c r="C1566" s="8" t="s">
        <v>5602</v>
      </c>
      <c r="D1566" s="9" t="s">
        <v>5586</v>
      </c>
      <c r="E1566" s="10" t="str">
        <f>HYPERLINK("https://twitter.com/mathusal9/status/1070915724686868481","1070915724686868481")</f>
        <v>1070915724686868481</v>
      </c>
      <c r="F1566" s="11" t="s">
        <v>4815</v>
      </c>
      <c r="G1566" s="12"/>
      <c r="H1566" s="12"/>
      <c r="I1566" s="13">
        <v>0</v>
      </c>
      <c r="J1566" s="13">
        <v>0</v>
      </c>
      <c r="K1566" s="14" t="str">
        <f t="shared" si="273"/>
        <v>Twitter Web Client</v>
      </c>
      <c r="L1566" s="13">
        <v>704</v>
      </c>
      <c r="M1566" s="13">
        <v>1803</v>
      </c>
      <c r="N1566" s="13">
        <v>3</v>
      </c>
      <c r="O1566" s="15"/>
      <c r="P1566" s="6">
        <v>43049.798819444448</v>
      </c>
      <c r="Q1566" s="16" t="s">
        <v>797</v>
      </c>
      <c r="R1566" s="17" t="s">
        <v>5603</v>
      </c>
      <c r="S1566" s="12"/>
      <c r="T1566" s="12"/>
      <c r="U1566" s="10" t="str">
        <f t="shared" si="274"/>
        <v>View</v>
      </c>
    </row>
    <row r="1567" spans="1:21" ht="51">
      <c r="A1567" s="6">
        <v>43441.275624999995</v>
      </c>
      <c r="B1567" s="7" t="str">
        <f>HYPERLINK("https://twitter.com/miguel_shin","@miguel_shin")</f>
        <v>@miguel_shin</v>
      </c>
      <c r="C1567" s="8" t="s">
        <v>5604</v>
      </c>
      <c r="D1567" s="9" t="s">
        <v>5605</v>
      </c>
      <c r="E1567" s="10" t="str">
        <f>HYPERLINK("https://twitter.com/miguel_shin/status/1070915030353371137","1070915030353371137")</f>
        <v>1070915030353371137</v>
      </c>
      <c r="F1567" s="12"/>
      <c r="G1567" s="12"/>
      <c r="H1567" s="12"/>
      <c r="I1567" s="13">
        <v>0</v>
      </c>
      <c r="J1567" s="13">
        <v>0</v>
      </c>
      <c r="K1567" s="14" t="str">
        <f>HYPERLINK("http://twitter.com/download/android","Twitter for Android")</f>
        <v>Twitter for Android</v>
      </c>
      <c r="L1567" s="13">
        <v>491</v>
      </c>
      <c r="M1567" s="13">
        <v>1067</v>
      </c>
      <c r="N1567" s="13">
        <v>22</v>
      </c>
      <c r="O1567" s="15"/>
      <c r="P1567" s="6">
        <v>39959.654710648145</v>
      </c>
      <c r="Q1567" s="12"/>
      <c r="R1567" s="17" t="s">
        <v>5606</v>
      </c>
      <c r="S1567" s="12"/>
      <c r="T1567" s="12"/>
      <c r="U1567" s="10" t="str">
        <f>HYPERLINK("https://pbs.twimg.com/profile_images/1056541383295676416/_JMcTERq.jpg","View")</f>
        <v>View</v>
      </c>
    </row>
    <row r="1568" spans="1:21" ht="20.399999999999999">
      <c r="A1568" s="6">
        <v>43441.272916666669</v>
      </c>
      <c r="B1568" s="7" t="str">
        <f>HYPERLINK("https://twitter.com/sumariumcom","@sumariumcom")</f>
        <v>@sumariumcom</v>
      </c>
      <c r="C1568" s="8" t="s">
        <v>4525</v>
      </c>
      <c r="D1568" s="9" t="s">
        <v>4526</v>
      </c>
      <c r="E1568" s="10" t="str">
        <f>HYPERLINK("https://twitter.com/sumariumcom/status/1070914048156491776","1070914048156491776")</f>
        <v>1070914048156491776</v>
      </c>
      <c r="F1568" s="11" t="s">
        <v>4527</v>
      </c>
      <c r="G1568" s="11" t="s">
        <v>5607</v>
      </c>
      <c r="H1568" s="12"/>
      <c r="I1568" s="13">
        <v>0</v>
      </c>
      <c r="J1568" s="13">
        <v>1</v>
      </c>
      <c r="K1568" s="14" t="str">
        <f>HYPERLINK("https://about.twitter.com/products/tweetdeck","TweetDeck")</f>
        <v>TweetDeck</v>
      </c>
      <c r="L1568" s="13">
        <v>164401</v>
      </c>
      <c r="M1568" s="13">
        <v>996</v>
      </c>
      <c r="N1568" s="13">
        <v>1122</v>
      </c>
      <c r="O1568" s="15"/>
      <c r="P1568" s="6">
        <v>40977.809594907405</v>
      </c>
      <c r="Q1568" s="16" t="s">
        <v>4529</v>
      </c>
      <c r="R1568" s="19"/>
      <c r="S1568" s="11" t="s">
        <v>4530</v>
      </c>
      <c r="T1568" s="12"/>
      <c r="U1568" s="10" t="str">
        <f>HYPERLINK("https://pbs.twimg.com/profile_images/1061987847874469888/mok5IDTt.jpg","View")</f>
        <v>View</v>
      </c>
    </row>
    <row r="1569" spans="1:21" ht="30.6">
      <c r="A1569" s="6">
        <v>43441.260960648149</v>
      </c>
      <c r="B1569" s="7" t="str">
        <f>HYPERLINK("https://twitter.com/Rogerdaflor","@Rogerdaflor")</f>
        <v>@Rogerdaflor</v>
      </c>
      <c r="C1569" s="8" t="s">
        <v>5608</v>
      </c>
      <c r="D1569" s="9" t="s">
        <v>5609</v>
      </c>
      <c r="E1569" s="10" t="str">
        <f>HYPERLINK("https://twitter.com/Rogerdaflor/status/1070909716132454400","1070909716132454400")</f>
        <v>1070909716132454400</v>
      </c>
      <c r="F1569" s="11" t="s">
        <v>4628</v>
      </c>
      <c r="G1569" s="12"/>
      <c r="H1569" s="12"/>
      <c r="I1569" s="13">
        <v>0</v>
      </c>
      <c r="J1569" s="13">
        <v>0</v>
      </c>
      <c r="K1569" s="14" t="str">
        <f t="shared" ref="K1569:K1570" si="275">HYPERLINK("http://twitter.com","Twitter Web Client")</f>
        <v>Twitter Web Client</v>
      </c>
      <c r="L1569" s="13">
        <v>244</v>
      </c>
      <c r="M1569" s="13">
        <v>1569</v>
      </c>
      <c r="N1569" s="13">
        <v>0</v>
      </c>
      <c r="O1569" s="15"/>
      <c r="P1569" s="6">
        <v>40336.615162037036</v>
      </c>
      <c r="Q1569" s="12"/>
      <c r="R1569" s="17" t="s">
        <v>5610</v>
      </c>
      <c r="S1569" s="12"/>
      <c r="T1569" s="12"/>
      <c r="U1569" s="10" t="str">
        <f>HYPERLINK("https://pbs.twimg.com/profile_images/969514380256825344/Xuv1iYyw.jpg","View")</f>
        <v>View</v>
      </c>
    </row>
    <row r="1570" spans="1:21" ht="40.799999999999997">
      <c r="A1570" s="6">
        <v>43441.256249999999</v>
      </c>
      <c r="B1570" s="7" t="str">
        <f>HYPERLINK("https://twitter.com/CarmenSanCarlos","@CarmenSanCarlos")</f>
        <v>@CarmenSanCarlos</v>
      </c>
      <c r="C1570" s="8" t="s">
        <v>5551</v>
      </c>
      <c r="D1570" s="9" t="s">
        <v>5567</v>
      </c>
      <c r="E1570" s="10" t="str">
        <f>HYPERLINK("https://twitter.com/CarmenSanCarlos/status/1070908008350269440","1070908008350269440")</f>
        <v>1070908008350269440</v>
      </c>
      <c r="F1570" s="11" t="s">
        <v>246</v>
      </c>
      <c r="G1570" s="12"/>
      <c r="H1570" s="12"/>
      <c r="I1570" s="13">
        <v>1</v>
      </c>
      <c r="J1570" s="13">
        <v>1</v>
      </c>
      <c r="K1570" s="14" t="str">
        <f t="shared" si="275"/>
        <v>Twitter Web Client</v>
      </c>
      <c r="L1570" s="13">
        <v>2786</v>
      </c>
      <c r="M1570" s="13">
        <v>2634</v>
      </c>
      <c r="N1570" s="13">
        <v>91</v>
      </c>
      <c r="O1570" s="15"/>
      <c r="P1570" s="6">
        <v>40079.761076388888</v>
      </c>
      <c r="Q1570" s="16" t="s">
        <v>1408</v>
      </c>
      <c r="R1570" s="17" t="s">
        <v>5553</v>
      </c>
      <c r="S1570" s="12"/>
      <c r="T1570" s="12"/>
      <c r="U1570" s="10" t="str">
        <f>HYPERLINK("https://pbs.twimg.com/profile_images/718568456614875136/UFn3eHCb.jpg","View")</f>
        <v>View</v>
      </c>
    </row>
    <row r="1571" spans="1:21" ht="40.799999999999997">
      <c r="A1571" s="6">
        <v>43441.250173611115</v>
      </c>
      <c r="B1571" s="7" t="str">
        <f>HYPERLINK("https://twitter.com/DronesVeracruz","@DronesVeracruz")</f>
        <v>@DronesVeracruz</v>
      </c>
      <c r="C1571" s="8" t="s">
        <v>5611</v>
      </c>
      <c r="D1571" s="9" t="s">
        <v>5612</v>
      </c>
      <c r="E1571" s="10" t="str">
        <f>HYPERLINK("https://twitter.com/DronesVeracruz/status/1070905806990860288","1070905806990860288")</f>
        <v>1070905806990860288</v>
      </c>
      <c r="F1571" s="11" t="s">
        <v>5613</v>
      </c>
      <c r="G1571" s="11" t="s">
        <v>5614</v>
      </c>
      <c r="H1571" s="12"/>
      <c r="I1571" s="13">
        <v>0</v>
      </c>
      <c r="J1571" s="13">
        <v>2</v>
      </c>
      <c r="K1571" s="14" t="str">
        <f>HYPERLINK("http://droneveracruz.com","DronesVeracruz")</f>
        <v>DronesVeracruz</v>
      </c>
      <c r="L1571" s="13">
        <v>413</v>
      </c>
      <c r="M1571" s="13">
        <v>1345</v>
      </c>
      <c r="N1571" s="13">
        <v>2</v>
      </c>
      <c r="O1571" s="15"/>
      <c r="P1571" s="6">
        <v>42910.848680555559</v>
      </c>
      <c r="Q1571" s="16" t="s">
        <v>5615</v>
      </c>
      <c r="R1571" s="17" t="s">
        <v>5616</v>
      </c>
      <c r="S1571" s="11" t="s">
        <v>5617</v>
      </c>
      <c r="T1571" s="12"/>
      <c r="U1571" s="10" t="str">
        <f>HYPERLINK("https://pbs.twimg.com/profile_images/878681584060190720/XtkQmYU9.jpg","View")</f>
        <v>View</v>
      </c>
    </row>
    <row r="1572" spans="1:21" ht="40.799999999999997">
      <c r="A1572" s="6">
        <v>43441.250081018516</v>
      </c>
      <c r="B1572" s="7" t="str">
        <f>HYPERLINK("https://twitter.com/futbolred","@futbolred")</f>
        <v>@futbolred</v>
      </c>
      <c r="C1572" s="20" t="s">
        <v>5618</v>
      </c>
      <c r="D1572" s="9" t="s">
        <v>5619</v>
      </c>
      <c r="E1572" s="10" t="str">
        <f>HYPERLINK("https://twitter.com/futbolred/status/1070905773121826816","1070905773121826816")</f>
        <v>1070905773121826816</v>
      </c>
      <c r="F1572" s="11" t="s">
        <v>5620</v>
      </c>
      <c r="G1572" s="11" t="s">
        <v>5621</v>
      </c>
      <c r="H1572" s="12"/>
      <c r="I1572" s="13">
        <v>6</v>
      </c>
      <c r="J1572" s="13">
        <v>25</v>
      </c>
      <c r="K1572" s="14" t="str">
        <f>HYPERLINK("https://www.hootsuite.com","Hootsuite Inc.")</f>
        <v>Hootsuite Inc.</v>
      </c>
      <c r="L1572" s="13">
        <v>864962</v>
      </c>
      <c r="M1572" s="13">
        <v>645</v>
      </c>
      <c r="N1572" s="13">
        <v>2201</v>
      </c>
      <c r="O1572" s="15"/>
      <c r="P1572" s="6">
        <v>39553.964872685188</v>
      </c>
      <c r="Q1572" s="16" t="s">
        <v>5622</v>
      </c>
      <c r="R1572" s="17" t="s">
        <v>5623</v>
      </c>
      <c r="S1572" s="11" t="s">
        <v>5624</v>
      </c>
      <c r="T1572" s="12"/>
      <c r="U1572" s="10" t="str">
        <f>HYPERLINK("https://pbs.twimg.com/profile_images/604306469853388800/z1TU5S2m.png","View")</f>
        <v>View</v>
      </c>
    </row>
    <row r="1573" spans="1:21" ht="51">
      <c r="A1573" s="6">
        <v>43441.245486111111</v>
      </c>
      <c r="B1573" s="7" t="str">
        <f>HYPERLINK("https://twitter.com/egarciagarcia","@egarciagarcia")</f>
        <v>@egarciagarcia</v>
      </c>
      <c r="C1573" s="8" t="s">
        <v>5625</v>
      </c>
      <c r="D1573" s="9" t="s">
        <v>5626</v>
      </c>
      <c r="E1573" s="10" t="str">
        <f>HYPERLINK("https://twitter.com/egarciagarcia/status/1070904109031714816","1070904109031714816")</f>
        <v>1070904109031714816</v>
      </c>
      <c r="F1573" s="11" t="s">
        <v>5627</v>
      </c>
      <c r="G1573" s="12"/>
      <c r="H1573" s="12"/>
      <c r="I1573" s="13">
        <v>0</v>
      </c>
      <c r="J1573" s="13">
        <v>0</v>
      </c>
      <c r="K1573" s="14" t="str">
        <f>HYPERLINK("http://twitter.com","Twitter Web Client")</f>
        <v>Twitter Web Client</v>
      </c>
      <c r="L1573" s="13">
        <v>1329</v>
      </c>
      <c r="M1573" s="13">
        <v>458</v>
      </c>
      <c r="N1573" s="13">
        <v>202</v>
      </c>
      <c r="O1573" s="15"/>
      <c r="P1573" s="6">
        <v>39882.418599537035</v>
      </c>
      <c r="Q1573" s="12"/>
      <c r="R1573" s="17" t="s">
        <v>5628</v>
      </c>
      <c r="S1573" s="11" t="s">
        <v>5629</v>
      </c>
      <c r="T1573" s="12"/>
      <c r="U1573" s="10" t="str">
        <f>HYPERLINK("https://pbs.twimg.com/profile_images/731149318946594817/o2xHvi70.jpg","View")</f>
        <v>View</v>
      </c>
    </row>
    <row r="1574" spans="1:21" ht="20.399999999999999">
      <c r="A1574" s="6">
        <v>43441.243842592594</v>
      </c>
      <c r="B1574" s="7" t="str">
        <f>HYPERLINK("https://twitter.com/LuisLeonardoV","@LuisLeonardoV")</f>
        <v>@LuisLeonardoV</v>
      </c>
      <c r="C1574" s="8" t="s">
        <v>4411</v>
      </c>
      <c r="D1574" s="9" t="s">
        <v>5630</v>
      </c>
      <c r="E1574" s="10" t="str">
        <f>HYPERLINK("https://twitter.com/LuisLeonardoV/status/1070903513956401153","1070903513956401153")</f>
        <v>1070903513956401153</v>
      </c>
      <c r="F1574" s="11" t="s">
        <v>5631</v>
      </c>
      <c r="G1574" s="12"/>
      <c r="H1574" s="12"/>
      <c r="I1574" s="13">
        <v>0</v>
      </c>
      <c r="J1574" s="13">
        <v>0</v>
      </c>
      <c r="K1574" s="14" t="str">
        <f>HYPERLINK("http://www.facebook.com/twitter","Facebook")</f>
        <v>Facebook</v>
      </c>
      <c r="L1574" s="13">
        <v>87</v>
      </c>
      <c r="M1574" s="13">
        <v>577</v>
      </c>
      <c r="N1574" s="13">
        <v>0</v>
      </c>
      <c r="O1574" s="15"/>
      <c r="P1574" s="6">
        <v>40799.628391203703</v>
      </c>
      <c r="Q1574" s="16" t="s">
        <v>3231</v>
      </c>
      <c r="R1574" s="17" t="s">
        <v>4412</v>
      </c>
      <c r="S1574" s="12"/>
      <c r="T1574" s="12"/>
      <c r="U1574" s="10" t="str">
        <f>HYPERLINK("https://pbs.twimg.com/profile_images/953603125646188544/vVgwuEZ6.jpg","View")</f>
        <v>View</v>
      </c>
    </row>
    <row r="1575" spans="1:21" ht="40.799999999999997">
      <c r="A1575" s="6">
        <v>43441.227407407408</v>
      </c>
      <c r="B1575" s="7" t="str">
        <f>HYPERLINK("https://twitter.com/MParras_ps3","@MParras_ps3")</f>
        <v>@MParras_ps3</v>
      </c>
      <c r="C1575" s="8" t="s">
        <v>5632</v>
      </c>
      <c r="D1575" s="9" t="s">
        <v>5633</v>
      </c>
      <c r="E1575" s="10" t="str">
        <f>HYPERLINK("https://twitter.com/MParras_ps3/status/1070897556941692928","1070897556941692928")</f>
        <v>1070897556941692928</v>
      </c>
      <c r="F1575" s="12"/>
      <c r="G1575" s="11" t="s">
        <v>5634</v>
      </c>
      <c r="H1575" s="12"/>
      <c r="I1575" s="13">
        <v>15</v>
      </c>
      <c r="J1575" s="13">
        <v>22</v>
      </c>
      <c r="K1575" s="14" t="str">
        <f t="shared" ref="K1575:K1577" si="276">HYPERLINK("http://twitter.com","Twitter Web Client")</f>
        <v>Twitter Web Client</v>
      </c>
      <c r="L1575" s="13">
        <v>736</v>
      </c>
      <c r="M1575" s="13">
        <v>311</v>
      </c>
      <c r="N1575" s="13">
        <v>20</v>
      </c>
      <c r="O1575" s="15"/>
      <c r="P1575" s="6">
        <v>42220.515868055554</v>
      </c>
      <c r="Q1575" s="12"/>
      <c r="R1575" s="17" t="s">
        <v>5635</v>
      </c>
      <c r="S1575" s="11" t="s">
        <v>5636</v>
      </c>
      <c r="T1575" s="12"/>
      <c r="U1575" s="10" t="str">
        <f>HYPERLINK("https://pbs.twimg.com/profile_images/1067030562106470401/1wLubcHo.jpg","View")</f>
        <v>View</v>
      </c>
    </row>
    <row r="1576" spans="1:21" ht="20.399999999999999">
      <c r="A1576" s="6">
        <v>43441.226226851853</v>
      </c>
      <c r="B1576" s="7" t="str">
        <f>HYPERLINK("https://twitter.com/hectorGoodFella","@hectorGoodFella")</f>
        <v>@hectorGoodFella</v>
      </c>
      <c r="C1576" s="8" t="s">
        <v>5637</v>
      </c>
      <c r="D1576" s="9" t="s">
        <v>5638</v>
      </c>
      <c r="E1576" s="10" t="str">
        <f>HYPERLINK("https://twitter.com/hectorGoodFella/status/1070897128250241024","1070897128250241024")</f>
        <v>1070897128250241024</v>
      </c>
      <c r="F1576" s="12"/>
      <c r="G1576" s="11" t="s">
        <v>5639</v>
      </c>
      <c r="H1576" s="12"/>
      <c r="I1576" s="13">
        <v>0</v>
      </c>
      <c r="J1576" s="13">
        <v>4</v>
      </c>
      <c r="K1576" s="14" t="str">
        <f t="shared" si="276"/>
        <v>Twitter Web Client</v>
      </c>
      <c r="L1576" s="13">
        <v>177</v>
      </c>
      <c r="M1576" s="13">
        <v>220</v>
      </c>
      <c r="N1576" s="13">
        <v>1</v>
      </c>
      <c r="O1576" s="15"/>
      <c r="P1576" s="6">
        <v>41093.958564814813</v>
      </c>
      <c r="Q1576" s="16" t="s">
        <v>85</v>
      </c>
      <c r="R1576" s="17" t="s">
        <v>5640</v>
      </c>
      <c r="S1576" s="11" t="s">
        <v>5641</v>
      </c>
      <c r="T1576" s="12"/>
      <c r="U1576" s="10" t="str">
        <f>HYPERLINK("https://pbs.twimg.com/profile_images/1068645662521257987/5ZsPaX-v.jpg","View")</f>
        <v>View</v>
      </c>
    </row>
    <row r="1577" spans="1:21" ht="13.2">
      <c r="A1577" s="6">
        <v>43441.225960648153</v>
      </c>
      <c r="B1577" s="7" t="str">
        <f>HYPERLINK("https://twitter.com/MetalCarlosRG","@MetalCarlosRG")</f>
        <v>@MetalCarlosRG</v>
      </c>
      <c r="C1577" s="8" t="s">
        <v>5642</v>
      </c>
      <c r="D1577" s="9" t="s">
        <v>5643</v>
      </c>
      <c r="E1577" s="10" t="str">
        <f>HYPERLINK("https://twitter.com/MetalCarlosRG/status/1070897033421164545","1070897033421164545")</f>
        <v>1070897033421164545</v>
      </c>
      <c r="F1577" s="12"/>
      <c r="G1577" s="11" t="s">
        <v>5644</v>
      </c>
      <c r="H1577" s="12"/>
      <c r="I1577" s="13">
        <v>0</v>
      </c>
      <c r="J1577" s="13">
        <v>0</v>
      </c>
      <c r="K1577" s="14" t="str">
        <f t="shared" si="276"/>
        <v>Twitter Web Client</v>
      </c>
      <c r="L1577" s="13">
        <v>6</v>
      </c>
      <c r="M1577" s="13">
        <v>76</v>
      </c>
      <c r="N1577" s="13">
        <v>0</v>
      </c>
      <c r="O1577" s="15"/>
      <c r="P1577" s="6">
        <v>43413.046701388885</v>
      </c>
      <c r="Q1577" s="16" t="s">
        <v>2255</v>
      </c>
      <c r="R1577" s="19"/>
      <c r="S1577" s="12"/>
      <c r="T1577" s="12"/>
      <c r="U1577" s="10" t="str">
        <f>HYPERLINK("https://pbs.twimg.com/profile_images/1060685603161993216/Gs8DWffd.jpg","View")</f>
        <v>View</v>
      </c>
    </row>
    <row r="1578" spans="1:21" ht="13.2">
      <c r="A1578" s="6">
        <v>43441.225798611107</v>
      </c>
      <c r="B1578" s="7" t="str">
        <f>HYPERLINK("https://twitter.com/JorgeAlca99","@JorgeAlca99")</f>
        <v>@JorgeAlca99</v>
      </c>
      <c r="C1578" s="8" t="s">
        <v>5646</v>
      </c>
      <c r="D1578" s="9" t="s">
        <v>5647</v>
      </c>
      <c r="E1578" s="10" t="str">
        <f>HYPERLINK("https://twitter.com/JorgeAlca99/status/1070896971781734401","1070896971781734401")</f>
        <v>1070896971781734401</v>
      </c>
      <c r="F1578" s="12"/>
      <c r="G1578" s="12"/>
      <c r="H1578" s="12"/>
      <c r="I1578" s="13">
        <v>0</v>
      </c>
      <c r="J1578" s="13">
        <v>0</v>
      </c>
      <c r="K1578" s="14" t="str">
        <f>HYPERLINK("http://twitter.com/download/android","Twitter for Android")</f>
        <v>Twitter for Android</v>
      </c>
      <c r="L1578" s="13">
        <v>138</v>
      </c>
      <c r="M1578" s="13">
        <v>333</v>
      </c>
      <c r="N1578" s="13">
        <v>1</v>
      </c>
      <c r="O1578" s="15"/>
      <c r="P1578" s="6">
        <v>41030.915300925924</v>
      </c>
      <c r="Q1578" s="12"/>
      <c r="R1578" s="17" t="s">
        <v>5650</v>
      </c>
      <c r="S1578" s="12"/>
      <c r="T1578" s="12"/>
      <c r="U1578" s="10" t="str">
        <f>HYPERLINK("https://pbs.twimg.com/profile_images/1044229278504800261/FQvPYAtv.jpg","View")</f>
        <v>View</v>
      </c>
    </row>
    <row r="1579" spans="1:21" ht="40.799999999999997">
      <c r="A1579" s="6">
        <v>43441.225717592592</v>
      </c>
      <c r="B1579" s="7" t="str">
        <f>HYPERLINK("https://twitter.com/HandsForShurik","@HandsForShurik")</f>
        <v>@HandsForShurik</v>
      </c>
      <c r="C1579" s="8" t="s">
        <v>5651</v>
      </c>
      <c r="D1579" s="9" t="s">
        <v>5652</v>
      </c>
      <c r="E1579" s="10" t="str">
        <f>HYPERLINK("https://twitter.com/HandsForShurik/status/1070896945986715649","1070896945986715649")</f>
        <v>1070896945986715649</v>
      </c>
      <c r="F1579" s="12"/>
      <c r="G1579" s="12"/>
      <c r="H1579" s="12"/>
      <c r="I1579" s="13">
        <v>0</v>
      </c>
      <c r="J1579" s="13">
        <v>0</v>
      </c>
      <c r="K1579" s="14" t="str">
        <f>HYPERLINK("http://twitter.com","Twitter Web Client")</f>
        <v>Twitter Web Client</v>
      </c>
      <c r="L1579" s="13">
        <v>193</v>
      </c>
      <c r="M1579" s="13">
        <v>170</v>
      </c>
      <c r="N1579" s="13">
        <v>5</v>
      </c>
      <c r="O1579" s="15"/>
      <c r="P1579" s="6">
        <v>41380.880752314813</v>
      </c>
      <c r="Q1579" s="16" t="s">
        <v>5653</v>
      </c>
      <c r="R1579" s="17" t="s">
        <v>5654</v>
      </c>
      <c r="S1579" s="11" t="s">
        <v>5655</v>
      </c>
      <c r="T1579" s="12"/>
      <c r="U1579" s="10" t="str">
        <f>HYPERLINK("https://pbs.twimg.com/profile_images/1071268592329637889/yFRKRjVB.jpg","View")</f>
        <v>View</v>
      </c>
    </row>
    <row r="1580" spans="1:21" ht="30.6">
      <c r="A1580" s="6">
        <v>43441.225706018522</v>
      </c>
      <c r="B1580" s="7" t="str">
        <f>HYPERLINK("https://twitter.com/Prototaip_","@Prototaip_")</f>
        <v>@Prototaip_</v>
      </c>
      <c r="C1580" s="8" t="s">
        <v>5656</v>
      </c>
      <c r="D1580" s="9" t="s">
        <v>5657</v>
      </c>
      <c r="E1580" s="10" t="str">
        <f>HYPERLINK("https://twitter.com/Prototaip_/status/1070896941217779713","1070896941217779713")</f>
        <v>1070896941217779713</v>
      </c>
      <c r="F1580" s="12"/>
      <c r="G1580" s="11" t="s">
        <v>5658</v>
      </c>
      <c r="H1580" s="12"/>
      <c r="I1580" s="13">
        <v>8</v>
      </c>
      <c r="J1580" s="13">
        <v>22</v>
      </c>
      <c r="K1580" s="14" t="str">
        <f t="shared" ref="K1580:K1582" si="277">HYPERLINK("https://about.twitter.com/products/tweetdeck","TweetDeck")</f>
        <v>TweetDeck</v>
      </c>
      <c r="L1580" s="13">
        <v>61</v>
      </c>
      <c r="M1580" s="13">
        <v>294</v>
      </c>
      <c r="N1580" s="13">
        <v>0</v>
      </c>
      <c r="O1580" s="15"/>
      <c r="P1580" s="6">
        <v>43258.818229166667</v>
      </c>
      <c r="Q1580" s="16" t="s">
        <v>5659</v>
      </c>
      <c r="R1580" s="17" t="s">
        <v>5660</v>
      </c>
      <c r="S1580" s="11" t="s">
        <v>5661</v>
      </c>
      <c r="T1580" s="12"/>
      <c r="U1580" s="10" t="str">
        <f>HYPERLINK("https://pbs.twimg.com/profile_images/1069075657873915905/hM_Vij_s.jpg","View")</f>
        <v>View</v>
      </c>
    </row>
    <row r="1581" spans="1:21" ht="13.2">
      <c r="A1581" s="6">
        <v>43441.225381944445</v>
      </c>
      <c r="B1581" s="7" t="str">
        <f>HYPERLINK("https://twitter.com/fvckvodafone","@fvckvodafone")</f>
        <v>@fvckvodafone</v>
      </c>
      <c r="C1581" s="8" t="s">
        <v>5662</v>
      </c>
      <c r="D1581" s="9" t="s">
        <v>5663</v>
      </c>
      <c r="E1581" s="10" t="str">
        <f>HYPERLINK("https://twitter.com/fvckvodafone/status/1070896824486121472","1070896824486121472")</f>
        <v>1070896824486121472</v>
      </c>
      <c r="F1581" s="12"/>
      <c r="G1581" s="12"/>
      <c r="H1581" s="12"/>
      <c r="I1581" s="13">
        <v>0</v>
      </c>
      <c r="J1581" s="13">
        <v>1</v>
      </c>
      <c r="K1581" s="14" t="str">
        <f t="shared" si="277"/>
        <v>TweetDeck</v>
      </c>
      <c r="L1581" s="13">
        <v>128</v>
      </c>
      <c r="M1581" s="13">
        <v>174</v>
      </c>
      <c r="N1581" s="13">
        <v>1</v>
      </c>
      <c r="O1581" s="15"/>
      <c r="P1581" s="6">
        <v>42471.798622685186</v>
      </c>
      <c r="Q1581" s="12"/>
      <c r="R1581" s="17" t="s">
        <v>5664</v>
      </c>
      <c r="S1581" s="12"/>
      <c r="T1581" s="12"/>
      <c r="U1581" s="10" t="str">
        <f>HYPERLINK("https://pbs.twimg.com/profile_images/1069559574066270208/ComL92Xk.jpg","View")</f>
        <v>View</v>
      </c>
    </row>
    <row r="1582" spans="1:21" ht="20.399999999999999">
      <c r="A1582" s="6">
        <v>43441.225231481483</v>
      </c>
      <c r="B1582" s="7" t="str">
        <f>HYPERLINK("https://twitter.com/AndresXav","@AndresXav")</f>
        <v>@AndresXav</v>
      </c>
      <c r="C1582" s="8" t="s">
        <v>5665</v>
      </c>
      <c r="D1582" s="9" t="s">
        <v>5666</v>
      </c>
      <c r="E1582" s="10" t="str">
        <f>HYPERLINK("https://twitter.com/AndresXav/status/1070896768286711808","1070896768286711808")</f>
        <v>1070896768286711808</v>
      </c>
      <c r="F1582" s="12"/>
      <c r="G1582" s="12"/>
      <c r="H1582" s="12"/>
      <c r="I1582" s="13">
        <v>0</v>
      </c>
      <c r="J1582" s="13">
        <v>1</v>
      </c>
      <c r="K1582" s="14" t="str">
        <f t="shared" si="277"/>
        <v>TweetDeck</v>
      </c>
      <c r="L1582" s="13">
        <v>333</v>
      </c>
      <c r="M1582" s="13">
        <v>267</v>
      </c>
      <c r="N1582" s="13">
        <v>9</v>
      </c>
      <c r="O1582" s="15"/>
      <c r="P1582" s="6">
        <v>41508.737962962965</v>
      </c>
      <c r="Q1582" s="16" t="s">
        <v>5667</v>
      </c>
      <c r="R1582" s="17" t="s">
        <v>5668</v>
      </c>
      <c r="S1582" s="11" t="s">
        <v>5669</v>
      </c>
      <c r="T1582" s="12"/>
      <c r="U1582" s="10" t="str">
        <f>HYPERLINK("https://pbs.twimg.com/profile_images/1042679454684905473/ig6U7zyR.jpg","View")</f>
        <v>View</v>
      </c>
    </row>
    <row r="1583" spans="1:21" ht="20.399999999999999">
      <c r="A1583" s="6">
        <v>43441.223657407405</v>
      </c>
      <c r="B1583" s="7" t="str">
        <f>HYPERLINK("https://twitter.com/EP_Mundo","@EP_Mundo")</f>
        <v>@EP_Mundo</v>
      </c>
      <c r="C1583" s="8" t="s">
        <v>735</v>
      </c>
      <c r="D1583" s="9" t="s">
        <v>2756</v>
      </c>
      <c r="E1583" s="10" t="str">
        <f>HYPERLINK("https://twitter.com/EP_Mundo/status/1070896197659971584","1070896197659971584")</f>
        <v>1070896197659971584</v>
      </c>
      <c r="F1583" s="11" t="s">
        <v>2757</v>
      </c>
      <c r="G1583" s="11" t="s">
        <v>5670</v>
      </c>
      <c r="H1583" s="12"/>
      <c r="I1583" s="13">
        <v>0</v>
      </c>
      <c r="J1583" s="13">
        <v>1</v>
      </c>
      <c r="K1583" s="14" t="str">
        <f>HYPERLINK("http://epmundo.com","Tuiteo TOP EP (2)")</f>
        <v>Tuiteo TOP EP (2)</v>
      </c>
      <c r="L1583" s="13">
        <v>510220</v>
      </c>
      <c r="M1583" s="13">
        <v>301867</v>
      </c>
      <c r="N1583" s="13">
        <v>1363</v>
      </c>
      <c r="O1583" s="15"/>
      <c r="P1583" s="6">
        <v>40203.223078703704</v>
      </c>
      <c r="Q1583" s="12"/>
      <c r="R1583" s="17" t="s">
        <v>739</v>
      </c>
      <c r="S1583" s="11" t="s">
        <v>740</v>
      </c>
      <c r="T1583" s="12"/>
      <c r="U1583" s="10" t="str">
        <f>HYPERLINK("https://pbs.twimg.com/profile_images/958329583778099200/87-xiuzB.jpg","View")</f>
        <v>View</v>
      </c>
    </row>
    <row r="1584" spans="1:21" ht="20.399999999999999">
      <c r="A1584" s="6">
        <v>43441.223229166666</v>
      </c>
      <c r="B1584" s="7" t="str">
        <f>HYPERLINK("https://twitter.com/mistertwingo","@mistertwingo")</f>
        <v>@mistertwingo</v>
      </c>
      <c r="C1584" s="8" t="s">
        <v>5671</v>
      </c>
      <c r="D1584" s="9" t="s">
        <v>5672</v>
      </c>
      <c r="E1584" s="10" t="str">
        <f>HYPERLINK("https://twitter.com/mistertwingo/status/1070896042386841600","1070896042386841600")</f>
        <v>1070896042386841600</v>
      </c>
      <c r="F1584" s="16" t="s">
        <v>5673</v>
      </c>
      <c r="G1584" s="12"/>
      <c r="H1584" s="12"/>
      <c r="I1584" s="13">
        <v>0</v>
      </c>
      <c r="J1584" s="13">
        <v>0</v>
      </c>
      <c r="K1584" s="14" t="str">
        <f>HYPERLINK("http://twitter.com","Twitter Web Client")</f>
        <v>Twitter Web Client</v>
      </c>
      <c r="L1584" s="13">
        <v>557</v>
      </c>
      <c r="M1584" s="13">
        <v>272</v>
      </c>
      <c r="N1584" s="13">
        <v>37</v>
      </c>
      <c r="O1584" s="15"/>
      <c r="P1584" s="6">
        <v>40956.917592592596</v>
      </c>
      <c r="Q1584" s="12"/>
      <c r="R1584" s="19"/>
      <c r="S1584" s="12"/>
      <c r="T1584" s="12"/>
      <c r="U1584" s="18" t="s">
        <v>67</v>
      </c>
    </row>
    <row r="1585" spans="1:21" ht="20.399999999999999">
      <c r="A1585" s="6">
        <v>43441.219282407408</v>
      </c>
      <c r="B1585" s="7" t="str">
        <f>HYPERLINK("https://twitter.com/HotDog_News","@HotDog_News")</f>
        <v>@HotDog_News</v>
      </c>
      <c r="C1585" s="8" t="s">
        <v>713</v>
      </c>
      <c r="D1585" s="9" t="s">
        <v>3001</v>
      </c>
      <c r="E1585" s="10" t="str">
        <f>HYPERLINK("https://twitter.com/HotDog_News/status/1070894613421064192","1070894613421064192")</f>
        <v>1070894613421064192</v>
      </c>
      <c r="F1585" s="11" t="s">
        <v>3688</v>
      </c>
      <c r="G1585" s="11" t="s">
        <v>5674</v>
      </c>
      <c r="H1585" s="12"/>
      <c r="I1585" s="13">
        <v>0</v>
      </c>
      <c r="J1585" s="13">
        <v>0</v>
      </c>
      <c r="K1585" s="14" t="str">
        <f t="shared" ref="K1585:K1586" si="278">HYPERLINK("http://epmundo.com","Tuiteo TOP EP (3)")</f>
        <v>Tuiteo TOP EP (3)</v>
      </c>
      <c r="L1585" s="13">
        <v>19769</v>
      </c>
      <c r="M1585" s="13">
        <v>19981</v>
      </c>
      <c r="N1585" s="13">
        <v>80</v>
      </c>
      <c r="O1585" s="15"/>
      <c r="P1585" s="6">
        <v>42104.009953703702</v>
      </c>
      <c r="Q1585" s="12"/>
      <c r="R1585" s="17" t="s">
        <v>717</v>
      </c>
      <c r="S1585" s="12"/>
      <c r="T1585" s="12"/>
      <c r="U1585" s="10" t="str">
        <f>HYPERLINK("https://pbs.twimg.com/profile_images/912774466077364224/ZpIz23zG.jpg","View")</f>
        <v>View</v>
      </c>
    </row>
    <row r="1586" spans="1:21" ht="20.399999999999999">
      <c r="A1586" s="6">
        <v>43441.21256944444</v>
      </c>
      <c r="B1586" s="7" t="str">
        <f>HYPERLINK("https://twitter.com/NotiPicante","@NotiPicante")</f>
        <v>@NotiPicante</v>
      </c>
      <c r="C1586" s="8" t="s">
        <v>2117</v>
      </c>
      <c r="D1586" s="9" t="s">
        <v>3001</v>
      </c>
      <c r="E1586" s="10" t="str">
        <f>HYPERLINK("https://twitter.com/NotiPicante/status/1070892180179439616","1070892180179439616")</f>
        <v>1070892180179439616</v>
      </c>
      <c r="F1586" s="11" t="s">
        <v>3688</v>
      </c>
      <c r="G1586" s="11" t="s">
        <v>5675</v>
      </c>
      <c r="H1586" s="12"/>
      <c r="I1586" s="13">
        <v>0</v>
      </c>
      <c r="J1586" s="13">
        <v>0</v>
      </c>
      <c r="K1586" s="14" t="str">
        <f t="shared" si="278"/>
        <v>Tuiteo TOP EP (3)</v>
      </c>
      <c r="L1586" s="13">
        <v>24470</v>
      </c>
      <c r="M1586" s="13">
        <v>24659</v>
      </c>
      <c r="N1586" s="13">
        <v>63</v>
      </c>
      <c r="O1586" s="15"/>
      <c r="P1586" s="6">
        <v>42324.12436342593</v>
      </c>
      <c r="Q1586" s="12"/>
      <c r="R1586" s="17" t="s">
        <v>2119</v>
      </c>
      <c r="S1586" s="12"/>
      <c r="T1586" s="12"/>
      <c r="U1586" s="10" t="str">
        <f>HYPERLINK("https://pbs.twimg.com/profile_images/913473995177111552/dTJMr2fE.jpg","View")</f>
        <v>View</v>
      </c>
    </row>
    <row r="1587" spans="1:21" ht="40.799999999999997">
      <c r="A1587" s="6">
        <v>43441.212372685186</v>
      </c>
      <c r="B1587" s="7" t="str">
        <f>HYPERLINK("https://twitter.com/Blue_Eisdrache","@Blue_Eisdrache")</f>
        <v>@Blue_Eisdrache</v>
      </c>
      <c r="C1587" s="8" t="s">
        <v>5676</v>
      </c>
      <c r="D1587" s="9" t="s">
        <v>5677</v>
      </c>
      <c r="E1587" s="10" t="str">
        <f>HYPERLINK("https://twitter.com/Blue_Eisdrache/status/1070892109312462848","1070892109312462848")</f>
        <v>1070892109312462848</v>
      </c>
      <c r="F1587" s="12"/>
      <c r="G1587" s="12"/>
      <c r="H1587" s="12"/>
      <c r="I1587" s="13">
        <v>0</v>
      </c>
      <c r="J1587" s="13">
        <v>0</v>
      </c>
      <c r="K1587" s="14" t="str">
        <f>HYPERLINK("https://mobile.twitter.com","Twitter Lite")</f>
        <v>Twitter Lite</v>
      </c>
      <c r="L1587" s="13">
        <v>58</v>
      </c>
      <c r="M1587" s="13">
        <v>114</v>
      </c>
      <c r="N1587" s="13">
        <v>4</v>
      </c>
      <c r="O1587" s="15"/>
      <c r="P1587" s="6">
        <v>41181.925324074073</v>
      </c>
      <c r="Q1587" s="16" t="s">
        <v>5678</v>
      </c>
      <c r="R1587" s="17" t="s">
        <v>5679</v>
      </c>
      <c r="S1587" s="12"/>
      <c r="T1587" s="12"/>
      <c r="U1587" s="10" t="str">
        <f>HYPERLINK("https://pbs.twimg.com/profile_images/1070638555108651009/9ZqIW_6c.jpg","View")</f>
        <v>View</v>
      </c>
    </row>
    <row r="1588" spans="1:21" ht="20.399999999999999">
      <c r="A1588" s="6">
        <v>43441.203715277778</v>
      </c>
      <c r="B1588" s="7" t="str">
        <f>HYPERLINK("https://twitter.com/1cervera1985","@1cervera1985")</f>
        <v>@1cervera1985</v>
      </c>
      <c r="C1588" s="8" t="s">
        <v>5680</v>
      </c>
      <c r="D1588" s="9" t="s">
        <v>1780</v>
      </c>
      <c r="E1588" s="10" t="str">
        <f>HYPERLINK("https://twitter.com/1cervera1985/status/1070888969288736768","1070888969288736768")</f>
        <v>1070888969288736768</v>
      </c>
      <c r="F1588" s="11" t="s">
        <v>5108</v>
      </c>
      <c r="G1588" s="12"/>
      <c r="H1588" s="12"/>
      <c r="I1588" s="13">
        <v>0</v>
      </c>
      <c r="J1588" s="13">
        <v>0</v>
      </c>
      <c r="K1588" s="14" t="str">
        <f>HYPERLINK("http://www.facebook.com/twitter","Facebook")</f>
        <v>Facebook</v>
      </c>
      <c r="L1588" s="13">
        <v>80</v>
      </c>
      <c r="M1588" s="13">
        <v>184</v>
      </c>
      <c r="N1588" s="13">
        <v>0</v>
      </c>
      <c r="O1588" s="15"/>
      <c r="P1588" s="6">
        <v>40414.74664351852</v>
      </c>
      <c r="Q1588" s="12"/>
      <c r="R1588" s="19"/>
      <c r="S1588" s="12"/>
      <c r="T1588" s="12"/>
      <c r="U1588" s="10" t="str">
        <f>HYPERLINK("https://pbs.twimg.com/profile_images/821481102904791040/JdfOj0J_.jpg","View")</f>
        <v>View</v>
      </c>
    </row>
    <row r="1589" spans="1:21" ht="30.6">
      <c r="A1589" s="6">
        <v>43441.202534722222</v>
      </c>
      <c r="B1589" s="7" t="str">
        <f>HYPERLINK("https://twitter.com/Luisjoargue","@Luisjoargue")</f>
        <v>@Luisjoargue</v>
      </c>
      <c r="C1589" s="8" t="s">
        <v>180</v>
      </c>
      <c r="D1589" s="9" t="s">
        <v>5681</v>
      </c>
      <c r="E1589" s="10" t="str">
        <f>HYPERLINK("https://twitter.com/Luisjoargue/status/1070888541704605696","1070888541704605696")</f>
        <v>1070888541704605696</v>
      </c>
      <c r="F1589" s="11" t="s">
        <v>5682</v>
      </c>
      <c r="G1589" s="12"/>
      <c r="H1589" s="12"/>
      <c r="I1589" s="13">
        <v>0</v>
      </c>
      <c r="J1589" s="13">
        <v>0</v>
      </c>
      <c r="K1589" s="14" t="str">
        <f>HYPERLINK("http://twitter.com/download/iphone","Twitter for iPhone")</f>
        <v>Twitter for iPhone</v>
      </c>
      <c r="L1589" s="13">
        <v>1418</v>
      </c>
      <c r="M1589" s="13">
        <v>2022</v>
      </c>
      <c r="N1589" s="13">
        <v>40</v>
      </c>
      <c r="O1589" s="15"/>
      <c r="P1589" s="6">
        <v>40356.635312500002</v>
      </c>
      <c r="Q1589" s="12"/>
      <c r="R1589" s="17" t="s">
        <v>183</v>
      </c>
      <c r="S1589" s="12"/>
      <c r="T1589" s="12"/>
      <c r="U1589" s="10" t="str">
        <f>HYPERLINK("https://pbs.twimg.com/profile_images/765304202272903169/-K7o-_9m.jpg","View")</f>
        <v>View</v>
      </c>
    </row>
    <row r="1590" spans="1:21" ht="30.6">
      <c r="A1590" s="6">
        <v>43441.19027777778</v>
      </c>
      <c r="B1590" s="7" t="str">
        <f>HYPERLINK("https://twitter.com/publico_es","@publico_es")</f>
        <v>@publico_es</v>
      </c>
      <c r="C1590" s="8" t="s">
        <v>2386</v>
      </c>
      <c r="D1590" s="9" t="s">
        <v>5683</v>
      </c>
      <c r="E1590" s="10" t="str">
        <f>HYPERLINK("https://twitter.com/publico_es/status/1070884100670550016","1070884100670550016")</f>
        <v>1070884100670550016</v>
      </c>
      <c r="F1590" s="11" t="s">
        <v>5684</v>
      </c>
      <c r="G1590" s="12"/>
      <c r="H1590" s="12"/>
      <c r="I1590" s="13">
        <v>7</v>
      </c>
      <c r="J1590" s="13">
        <v>8</v>
      </c>
      <c r="K1590" s="14" t="str">
        <f>HYPERLINK("https://about.twitter.com/products/tweetdeck","TweetDeck")</f>
        <v>TweetDeck</v>
      </c>
      <c r="L1590" s="13">
        <v>913667</v>
      </c>
      <c r="M1590" s="13">
        <v>1457</v>
      </c>
      <c r="N1590" s="13">
        <v>14850</v>
      </c>
      <c r="O1590" s="18" t="s">
        <v>41</v>
      </c>
      <c r="P1590" s="6">
        <v>39779.559525462959</v>
      </c>
      <c r="Q1590" s="16" t="s">
        <v>1408</v>
      </c>
      <c r="R1590" s="17" t="s">
        <v>2389</v>
      </c>
      <c r="S1590" s="11" t="s">
        <v>2390</v>
      </c>
      <c r="T1590" s="12"/>
      <c r="U1590" s="10" t="str">
        <f>HYPERLINK("https://pbs.twimg.com/profile_images/1048242435682422786/FdzZWHU8.jpg","View")</f>
        <v>View</v>
      </c>
    </row>
    <row r="1591" spans="1:21" ht="40.799999999999997">
      <c r="A1591" s="6">
        <v>43441.18751157407</v>
      </c>
      <c r="B1591" s="7" t="str">
        <f>HYPERLINK("https://twitter.com/abc_es","@abc_es")</f>
        <v>@abc_es</v>
      </c>
      <c r="C1591" s="20" t="s">
        <v>375</v>
      </c>
      <c r="D1591" s="9" t="s">
        <v>5685</v>
      </c>
      <c r="E1591" s="10" t="str">
        <f>HYPERLINK("https://twitter.com/abc_es/status/1070883097154068480","1070883097154068480")</f>
        <v>1070883097154068480</v>
      </c>
      <c r="F1591" s="11" t="s">
        <v>5686</v>
      </c>
      <c r="G1591" s="12"/>
      <c r="H1591" s="12"/>
      <c r="I1591" s="13">
        <v>13</v>
      </c>
      <c r="J1591" s="13">
        <v>18</v>
      </c>
      <c r="K1591" s="14" t="str">
        <f>HYPERLINK("https://dogtrack.es","DogTrack ABC")</f>
        <v>DogTrack ABC</v>
      </c>
      <c r="L1591" s="13">
        <v>1610206</v>
      </c>
      <c r="M1591" s="13">
        <v>15511</v>
      </c>
      <c r="N1591" s="13">
        <v>17149</v>
      </c>
      <c r="O1591" s="18" t="s">
        <v>41</v>
      </c>
      <c r="P1591" s="6">
        <v>39846.840682870374</v>
      </c>
      <c r="Q1591" s="16" t="s">
        <v>60</v>
      </c>
      <c r="R1591" s="17" t="s">
        <v>377</v>
      </c>
      <c r="S1591" s="11" t="s">
        <v>241</v>
      </c>
      <c r="T1591" s="12"/>
      <c r="U1591" s="10" t="str">
        <f>HYPERLINK("https://pbs.twimg.com/profile_images/1053638435309842432/s75OnwdY.jpg","View")</f>
        <v>View</v>
      </c>
    </row>
    <row r="1592" spans="1:21" ht="20.399999999999999">
      <c r="A1592" s="6">
        <v>43441.184016203704</v>
      </c>
      <c r="B1592" s="7" t="str">
        <f>HYPERLINK("https://twitter.com/carlosfquiroga","@carlosfquiroga")</f>
        <v>@carlosfquiroga</v>
      </c>
      <c r="C1592" s="8" t="s">
        <v>5687</v>
      </c>
      <c r="D1592" s="9" t="s">
        <v>5688</v>
      </c>
      <c r="E1592" s="10" t="str">
        <f>HYPERLINK("https://twitter.com/carlosfquiroga/status/1070881832286208001","1070881832286208001")</f>
        <v>1070881832286208001</v>
      </c>
      <c r="F1592" s="11" t="s">
        <v>5690</v>
      </c>
      <c r="G1592" s="12"/>
      <c r="H1592" s="12"/>
      <c r="I1592" s="13">
        <v>0</v>
      </c>
      <c r="J1592" s="13">
        <v>0</v>
      </c>
      <c r="K1592" s="14" t="str">
        <f t="shared" ref="K1592:K1593" si="279">HYPERLINK("http://twitter.com/download/android","Twitter for Android")</f>
        <v>Twitter for Android</v>
      </c>
      <c r="L1592" s="13">
        <v>543</v>
      </c>
      <c r="M1592" s="13">
        <v>2213</v>
      </c>
      <c r="N1592" s="13">
        <v>4</v>
      </c>
      <c r="O1592" s="15"/>
      <c r="P1592" s="6">
        <v>40629.228518518517</v>
      </c>
      <c r="Q1592" s="16" t="s">
        <v>5691</v>
      </c>
      <c r="R1592" s="17" t="s">
        <v>5692</v>
      </c>
      <c r="S1592" s="12"/>
      <c r="T1592" s="12"/>
      <c r="U1592" s="10" t="str">
        <f>HYPERLINK("https://pbs.twimg.com/profile_images/529242061225349120/r_sFyfQ_.jpeg","View")</f>
        <v>View</v>
      </c>
    </row>
    <row r="1593" spans="1:21" ht="20.399999999999999">
      <c r="A1593" s="6">
        <v>43441.177395833336</v>
      </c>
      <c r="B1593" s="7" t="str">
        <f>HYPERLINK("https://twitter.com/pezaro989","@pezaro989")</f>
        <v>@pezaro989</v>
      </c>
      <c r="C1593" s="8" t="s">
        <v>5693</v>
      </c>
      <c r="D1593" s="9" t="s">
        <v>5694</v>
      </c>
      <c r="E1593" s="10" t="str">
        <f>HYPERLINK("https://twitter.com/pezaro989/status/1070879435019022337","1070879435019022337")</f>
        <v>1070879435019022337</v>
      </c>
      <c r="F1593" s="11" t="s">
        <v>5695</v>
      </c>
      <c r="G1593" s="12"/>
      <c r="H1593" s="12"/>
      <c r="I1593" s="13">
        <v>0</v>
      </c>
      <c r="J1593" s="13">
        <v>0</v>
      </c>
      <c r="K1593" s="14" t="str">
        <f t="shared" si="279"/>
        <v>Twitter for Android</v>
      </c>
      <c r="L1593" s="13">
        <v>285</v>
      </c>
      <c r="M1593" s="13">
        <v>1915</v>
      </c>
      <c r="N1593" s="13">
        <v>4</v>
      </c>
      <c r="O1593" s="15"/>
      <c r="P1593" s="6">
        <v>40900.797013888892</v>
      </c>
      <c r="Q1593" s="16" t="s">
        <v>5696</v>
      </c>
      <c r="R1593" s="17" t="s">
        <v>5697</v>
      </c>
      <c r="S1593" s="12"/>
      <c r="T1593" s="12"/>
      <c r="U1593" s="10" t="str">
        <f>HYPERLINK("https://pbs.twimg.com/profile_images/937494017339781121/y-iRREdy.jpg","View")</f>
        <v>View</v>
      </c>
    </row>
    <row r="1594" spans="1:21" ht="20.399999999999999">
      <c r="A1594" s="6">
        <v>43441.171030092592</v>
      </c>
      <c r="B1594" s="7" t="str">
        <f>HYPERLINK("https://twitter.com/Canal95Chile","@Canal95Chile")</f>
        <v>@Canal95Chile</v>
      </c>
      <c r="C1594" s="8" t="s">
        <v>5698</v>
      </c>
      <c r="D1594" s="9" t="s">
        <v>5699</v>
      </c>
      <c r="E1594" s="10" t="str">
        <f>HYPERLINK("https://twitter.com/Canal95Chile/status/1070877128089047040","1070877128089047040")</f>
        <v>1070877128089047040</v>
      </c>
      <c r="F1594" s="11" t="s">
        <v>5700</v>
      </c>
      <c r="G1594" s="12"/>
      <c r="H1594" s="12"/>
      <c r="I1594" s="13">
        <v>0</v>
      </c>
      <c r="J1594" s="13">
        <v>0</v>
      </c>
      <c r="K1594" s="14" t="str">
        <f>HYPERLINK("https://www.google.com/","Google")</f>
        <v>Google</v>
      </c>
      <c r="L1594" s="13">
        <v>1080</v>
      </c>
      <c r="M1594" s="13">
        <v>278</v>
      </c>
      <c r="N1594" s="13">
        <v>3</v>
      </c>
      <c r="O1594" s="15"/>
      <c r="P1594" s="6">
        <v>41783.972592592589</v>
      </c>
      <c r="Q1594" s="16" t="s">
        <v>5701</v>
      </c>
      <c r="R1594" s="17" t="s">
        <v>5702</v>
      </c>
      <c r="S1594" s="11" t="s">
        <v>5703</v>
      </c>
      <c r="T1594" s="12"/>
      <c r="U1594" s="10" t="str">
        <f>HYPERLINK("https://pbs.twimg.com/profile_images/470314091353890816/sgBI1GVx.png","View")</f>
        <v>View</v>
      </c>
    </row>
    <row r="1595" spans="1:21" ht="20.399999999999999">
      <c r="A1595" s="6">
        <v>43441.167916666665</v>
      </c>
      <c r="B1595" s="7" t="str">
        <f>HYPERLINK("https://twitter.com/JoseanDuran45","@JoseanDuran45")</f>
        <v>@JoseanDuran45</v>
      </c>
      <c r="C1595" s="8" t="s">
        <v>5704</v>
      </c>
      <c r="D1595" s="9" t="s">
        <v>4627</v>
      </c>
      <c r="E1595" s="10" t="str">
        <f>HYPERLINK("https://twitter.com/JoseanDuran45/status/1070875999800360961","1070875999800360961")</f>
        <v>1070875999800360961</v>
      </c>
      <c r="F1595" s="11" t="s">
        <v>4628</v>
      </c>
      <c r="G1595" s="12"/>
      <c r="H1595" s="12"/>
      <c r="I1595" s="13">
        <v>0</v>
      </c>
      <c r="J1595" s="13">
        <v>0</v>
      </c>
      <c r="K1595" s="14" t="str">
        <f>HYPERLINK("http://twitter.com","Twitter Web Client")</f>
        <v>Twitter Web Client</v>
      </c>
      <c r="L1595" s="13">
        <v>154</v>
      </c>
      <c r="M1595" s="13">
        <v>176</v>
      </c>
      <c r="N1595" s="13">
        <v>4</v>
      </c>
      <c r="O1595" s="15"/>
      <c r="P1595" s="6">
        <v>42327.814120370371</v>
      </c>
      <c r="Q1595" s="12"/>
      <c r="R1595" s="19"/>
      <c r="S1595" s="12"/>
      <c r="T1595" s="12"/>
      <c r="U1595" s="10" t="str">
        <f>HYPERLINK("https://pbs.twimg.com/profile_images/667412235568959488/hCT9XWvM.jpg","View")</f>
        <v>View</v>
      </c>
    </row>
    <row r="1596" spans="1:21" ht="30.6">
      <c r="A1596" s="6">
        <v>43441.167164351849</v>
      </c>
      <c r="B1596" s="7" t="str">
        <f>HYPERLINK("https://twitter.com/periodicovzlano","@periodicovzlano")</f>
        <v>@periodicovzlano</v>
      </c>
      <c r="C1596" s="8" t="s">
        <v>869</v>
      </c>
      <c r="D1596" s="9" t="s">
        <v>3001</v>
      </c>
      <c r="E1596" s="10" t="str">
        <f>HYPERLINK("https://twitter.com/periodicovzlano/status/1070875726864359424","1070875726864359424")</f>
        <v>1070875726864359424</v>
      </c>
      <c r="F1596" s="11" t="s">
        <v>2757</v>
      </c>
      <c r="G1596" s="11" t="s">
        <v>5705</v>
      </c>
      <c r="H1596" s="12"/>
      <c r="I1596" s="13">
        <v>0</v>
      </c>
      <c r="J1596" s="13">
        <v>0</v>
      </c>
      <c r="K1596" s="14" t="str">
        <f>HYPERLINK("http://epmundo.com","Tuiteo TOP EP (1)")</f>
        <v>Tuiteo TOP EP (1)</v>
      </c>
      <c r="L1596" s="13">
        <v>479694</v>
      </c>
      <c r="M1596" s="13">
        <v>358804</v>
      </c>
      <c r="N1596" s="13">
        <v>1295</v>
      </c>
      <c r="O1596" s="15"/>
      <c r="P1596" s="6">
        <v>40663.3512962963</v>
      </c>
      <c r="Q1596" s="16" t="s">
        <v>871</v>
      </c>
      <c r="R1596" s="17" t="s">
        <v>872</v>
      </c>
      <c r="S1596" s="11" t="s">
        <v>873</v>
      </c>
      <c r="T1596" s="12"/>
      <c r="U1596" s="10" t="str">
        <f>HYPERLINK("https://pbs.twimg.com/profile_images/958328579250638849/MCz7Q8U6.jpg","View")</f>
        <v>View</v>
      </c>
    </row>
    <row r="1597" spans="1:21" ht="40.799999999999997">
      <c r="A1597" s="6">
        <v>43441.166354166664</v>
      </c>
      <c r="B1597" s="7" t="str">
        <f>HYPERLINK("https://twitter.com/Abel_Franc","@Abel_Franc")</f>
        <v>@Abel_Franc</v>
      </c>
      <c r="C1597" s="8" t="s">
        <v>5706</v>
      </c>
      <c r="D1597" s="9" t="s">
        <v>5707</v>
      </c>
      <c r="E1597" s="10" t="str">
        <f>HYPERLINK("https://twitter.com/Abel_Franc/status/1070875431434444806","1070875431434444806")</f>
        <v>1070875431434444806</v>
      </c>
      <c r="F1597" s="11" t="s">
        <v>5708</v>
      </c>
      <c r="G1597" s="12"/>
      <c r="H1597" s="12"/>
      <c r="I1597" s="13">
        <v>0</v>
      </c>
      <c r="J1597" s="13">
        <v>0</v>
      </c>
      <c r="K1597" s="14" t="str">
        <f>HYPERLINK("http://twitter.com/download/android","Twitter for Android")</f>
        <v>Twitter for Android</v>
      </c>
      <c r="L1597" s="13">
        <v>1552</v>
      </c>
      <c r="M1597" s="13">
        <v>2171</v>
      </c>
      <c r="N1597" s="13">
        <v>25</v>
      </c>
      <c r="O1597" s="15"/>
      <c r="P1597" s="6">
        <v>40669.533275462964</v>
      </c>
      <c r="Q1597" s="16" t="s">
        <v>5709</v>
      </c>
      <c r="R1597" s="17" t="s">
        <v>5710</v>
      </c>
      <c r="S1597" s="11" t="s">
        <v>5711</v>
      </c>
      <c r="T1597" s="12"/>
      <c r="U1597" s="10" t="str">
        <f>HYPERLINK("https://pbs.twimg.com/profile_images/1024355260800946179/0-gf4ZgV.jpg","View")</f>
        <v>View</v>
      </c>
    </row>
    <row r="1598" spans="1:21" ht="20.399999999999999">
      <c r="A1598" s="6">
        <v>43441.165937500002</v>
      </c>
      <c r="B1598" s="7" t="str">
        <f>HYPERLINK("https://twitter.com/sumariumcom","@sumariumcom")</f>
        <v>@sumariumcom</v>
      </c>
      <c r="C1598" s="8" t="s">
        <v>4525</v>
      </c>
      <c r="D1598" s="9" t="s">
        <v>4526</v>
      </c>
      <c r="E1598" s="10" t="str">
        <f>HYPERLINK("https://twitter.com/sumariumcom/status/1070875278958911490","1070875278958911490")</f>
        <v>1070875278958911490</v>
      </c>
      <c r="F1598" s="11" t="s">
        <v>4527</v>
      </c>
      <c r="G1598" s="11" t="s">
        <v>5712</v>
      </c>
      <c r="H1598" s="12"/>
      <c r="I1598" s="13">
        <v>3</v>
      </c>
      <c r="J1598" s="13">
        <v>0</v>
      </c>
      <c r="K1598" s="14" t="str">
        <f>HYPERLINK("https://about.twitter.com/products/tweetdeck","TweetDeck")</f>
        <v>TweetDeck</v>
      </c>
      <c r="L1598" s="13">
        <v>164401</v>
      </c>
      <c r="M1598" s="13">
        <v>996</v>
      </c>
      <c r="N1598" s="13">
        <v>1122</v>
      </c>
      <c r="O1598" s="15"/>
      <c r="P1598" s="6">
        <v>40977.809594907405</v>
      </c>
      <c r="Q1598" s="16" t="s">
        <v>4529</v>
      </c>
      <c r="R1598" s="19"/>
      <c r="S1598" s="11" t="s">
        <v>4530</v>
      </c>
      <c r="T1598" s="12"/>
      <c r="U1598" s="10" t="str">
        <f>HYPERLINK("https://pbs.twimg.com/profile_images/1061987847874469888/mok5IDTt.jpg","View")</f>
        <v>View</v>
      </c>
    </row>
    <row r="1599" spans="1:21" ht="20.399999999999999">
      <c r="A1599" s="6">
        <v>43441.165358796294</v>
      </c>
      <c r="B1599" s="7" t="str">
        <f>HYPERLINK("https://twitter.com/oirschoot","@oirschoot")</f>
        <v>@oirschoot</v>
      </c>
      <c r="C1599" s="8" t="s">
        <v>5715</v>
      </c>
      <c r="D1599" s="9" t="s">
        <v>5716</v>
      </c>
      <c r="E1599" s="10" t="str">
        <f>HYPERLINK("https://twitter.com/oirschoot/status/1070875070954917888","1070875070954917888")</f>
        <v>1070875070954917888</v>
      </c>
      <c r="F1599" s="11" t="s">
        <v>2462</v>
      </c>
      <c r="G1599" s="12"/>
      <c r="H1599" s="12"/>
      <c r="I1599" s="13">
        <v>0</v>
      </c>
      <c r="J1599" s="13">
        <v>0</v>
      </c>
      <c r="K1599" s="14" t="str">
        <f>HYPERLINK("http://twitter.com","Twitter Web Client")</f>
        <v>Twitter Web Client</v>
      </c>
      <c r="L1599" s="13">
        <v>599</v>
      </c>
      <c r="M1599" s="13">
        <v>891</v>
      </c>
      <c r="N1599" s="13">
        <v>21</v>
      </c>
      <c r="O1599" s="15"/>
      <c r="P1599" s="6">
        <v>40215.420763888891</v>
      </c>
      <c r="Q1599" s="12"/>
      <c r="R1599" s="19"/>
      <c r="S1599" s="12"/>
      <c r="T1599" s="12"/>
      <c r="U1599" s="10" t="str">
        <f>HYPERLINK("https://pbs.twimg.com/profile_images/3481606096/69fb85f5ec5767b58c0af051a052cac2.png","View")</f>
        <v>View</v>
      </c>
    </row>
    <row r="1600" spans="1:21" ht="20.399999999999999">
      <c r="A1600" s="6">
        <v>43441.163877314815</v>
      </c>
      <c r="B1600" s="7" t="str">
        <f>HYPERLINK("https://twitter.com/EP_Mundo","@EP_Mundo")</f>
        <v>@EP_Mundo</v>
      </c>
      <c r="C1600" s="8" t="s">
        <v>735</v>
      </c>
      <c r="D1600" s="9" t="s">
        <v>2756</v>
      </c>
      <c r="E1600" s="10" t="str">
        <f>HYPERLINK("https://twitter.com/EP_Mundo/status/1070874532767064066","1070874532767064066")</f>
        <v>1070874532767064066</v>
      </c>
      <c r="F1600" s="11" t="s">
        <v>2757</v>
      </c>
      <c r="G1600" s="11" t="s">
        <v>5719</v>
      </c>
      <c r="H1600" s="12"/>
      <c r="I1600" s="13">
        <v>0</v>
      </c>
      <c r="J1600" s="13">
        <v>0</v>
      </c>
      <c r="K1600" s="14" t="str">
        <f>HYPERLINK("http://epmundo.com","Tuiteo TOP EP (2)")</f>
        <v>Tuiteo TOP EP (2)</v>
      </c>
      <c r="L1600" s="13">
        <v>510220</v>
      </c>
      <c r="M1600" s="13">
        <v>301867</v>
      </c>
      <c r="N1600" s="13">
        <v>1363</v>
      </c>
      <c r="O1600" s="15"/>
      <c r="P1600" s="6">
        <v>40203.223078703704</v>
      </c>
      <c r="Q1600" s="12"/>
      <c r="R1600" s="17" t="s">
        <v>739</v>
      </c>
      <c r="S1600" s="11" t="s">
        <v>740</v>
      </c>
      <c r="T1600" s="12"/>
      <c r="U1600" s="10" t="str">
        <f>HYPERLINK("https://pbs.twimg.com/profile_images/958329583778099200/87-xiuzB.jpg","View")</f>
        <v>View</v>
      </c>
    </row>
    <row r="1601" spans="1:21" ht="40.799999999999997">
      <c r="A1601" s="6">
        <v>43441.138923611114</v>
      </c>
      <c r="B1601" s="7" t="str">
        <f>HYPERLINK("https://twitter.com/Cambio16","@Cambio16")</f>
        <v>@Cambio16</v>
      </c>
      <c r="C1601" s="8" t="s">
        <v>2837</v>
      </c>
      <c r="D1601" s="9" t="s">
        <v>5720</v>
      </c>
      <c r="E1601" s="10" t="str">
        <f>HYPERLINK("https://twitter.com/Cambio16/status/1070865490074046464","1070865490074046464")</f>
        <v>1070865490074046464</v>
      </c>
      <c r="F1601" s="11" t="s">
        <v>5721</v>
      </c>
      <c r="G1601" s="11" t="s">
        <v>5722</v>
      </c>
      <c r="H1601" s="12"/>
      <c r="I1601" s="13">
        <v>1</v>
      </c>
      <c r="J1601" s="13">
        <v>0</v>
      </c>
      <c r="K1601" s="14" t="str">
        <f>HYPERLINK("https://www.hootsuite.com","Hootsuite Inc.")</f>
        <v>Hootsuite Inc.</v>
      </c>
      <c r="L1601" s="13">
        <v>17336</v>
      </c>
      <c r="M1601" s="13">
        <v>1007</v>
      </c>
      <c r="N1601" s="13">
        <v>502</v>
      </c>
      <c r="O1601" s="15"/>
      <c r="P1601" s="6">
        <v>40341.492245370369</v>
      </c>
      <c r="Q1601" s="16" t="s">
        <v>133</v>
      </c>
      <c r="R1601" s="17" t="s">
        <v>2842</v>
      </c>
      <c r="S1601" s="11" t="s">
        <v>2843</v>
      </c>
      <c r="T1601" s="12"/>
      <c r="U1601" s="10" t="str">
        <f>HYPERLINK("https://pbs.twimg.com/profile_images/1060221846208069632/vJfJ3_T5.jpg","View")</f>
        <v>View</v>
      </c>
    </row>
    <row r="1602" spans="1:21" ht="51">
      <c r="A1602" s="6">
        <v>43441.133599537032</v>
      </c>
      <c r="B1602" s="7" t="str">
        <f>HYPERLINK("https://twitter.com/Viczuri","@Viczuri")</f>
        <v>@Viczuri</v>
      </c>
      <c r="C1602" s="8" t="s">
        <v>5723</v>
      </c>
      <c r="D1602" s="9" t="s">
        <v>5724</v>
      </c>
      <c r="E1602" s="10" t="str">
        <f>HYPERLINK("https://twitter.com/Viczuri/status/1070863560769720325","1070863560769720325")</f>
        <v>1070863560769720325</v>
      </c>
      <c r="F1602" s="12"/>
      <c r="G1602" s="11" t="s">
        <v>5725</v>
      </c>
      <c r="H1602" s="12"/>
      <c r="I1602" s="13">
        <v>4</v>
      </c>
      <c r="J1602" s="13">
        <v>5</v>
      </c>
      <c r="K1602" s="14" t="str">
        <f>HYPERLINK("http://twitter.com","Twitter Web Client")</f>
        <v>Twitter Web Client</v>
      </c>
      <c r="L1602" s="13">
        <v>4228</v>
      </c>
      <c r="M1602" s="13">
        <v>3874</v>
      </c>
      <c r="N1602" s="13">
        <v>19</v>
      </c>
      <c r="O1602" s="15"/>
      <c r="P1602" s="6">
        <v>40553.568287037036</v>
      </c>
      <c r="Q1602" s="12"/>
      <c r="R1602" s="17" t="s">
        <v>5726</v>
      </c>
      <c r="S1602" s="12"/>
      <c r="T1602" s="12"/>
      <c r="U1602" s="10" t="str">
        <f>HYPERLINK("https://pbs.twimg.com/profile_images/977318990291918849/47D9f3lc.jpg","View")</f>
        <v>View</v>
      </c>
    </row>
    <row r="1603" spans="1:21" ht="20.399999999999999">
      <c r="A1603" s="6">
        <v>43441.131377314814</v>
      </c>
      <c r="B1603" s="7" t="str">
        <f>HYPERLINK("https://twitter.com/SuperVeraz","@SuperVeraz")</f>
        <v>@SuperVeraz</v>
      </c>
      <c r="C1603" s="8" t="s">
        <v>939</v>
      </c>
      <c r="D1603" s="9" t="s">
        <v>3001</v>
      </c>
      <c r="E1603" s="10" t="str">
        <f>HYPERLINK("https://twitter.com/SuperVeraz/status/1070862758302896128","1070862758302896128")</f>
        <v>1070862758302896128</v>
      </c>
      <c r="F1603" s="11" t="s">
        <v>3688</v>
      </c>
      <c r="G1603" s="11" t="s">
        <v>5728</v>
      </c>
      <c r="H1603" s="12"/>
      <c r="I1603" s="13">
        <v>0</v>
      </c>
      <c r="J1603" s="13">
        <v>0</v>
      </c>
      <c r="K1603" s="14" t="str">
        <f>HYPERLINK("http://epmundo.com","Tuiteo TOP EP (3)")</f>
        <v>Tuiteo TOP EP (3)</v>
      </c>
      <c r="L1603" s="13">
        <v>25111</v>
      </c>
      <c r="M1603" s="13">
        <v>25017</v>
      </c>
      <c r="N1603" s="13">
        <v>36</v>
      </c>
      <c r="O1603" s="15"/>
      <c r="P1603" s="6">
        <v>42316.960196759261</v>
      </c>
      <c r="Q1603" s="12"/>
      <c r="R1603" s="17" t="s">
        <v>941</v>
      </c>
      <c r="S1603" s="12"/>
      <c r="T1603" s="12"/>
      <c r="U1603" s="10" t="str">
        <f>HYPERLINK("https://pbs.twimg.com/profile_images/913065497314422785/YFj9YjjH.jpg","View")</f>
        <v>View</v>
      </c>
    </row>
    <row r="1604" spans="1:21" ht="20.399999999999999">
      <c r="A1604" s="6">
        <v>43441.127974537041</v>
      </c>
      <c r="B1604" s="7" t="str">
        <f>HYPERLINK("https://twitter.com/NacionalReCopas","@NacionalReCopas")</f>
        <v>@NacionalReCopas</v>
      </c>
      <c r="C1604" s="8" t="s">
        <v>5729</v>
      </c>
      <c r="D1604" s="9" t="s">
        <v>5730</v>
      </c>
      <c r="E1604" s="10" t="str">
        <f>HYPERLINK("https://twitter.com/NacionalReCopas/status/1070861522656727040","1070861522656727040")</f>
        <v>1070861522656727040</v>
      </c>
      <c r="F1604" s="11" t="s">
        <v>5731</v>
      </c>
      <c r="G1604" s="12"/>
      <c r="H1604" s="12"/>
      <c r="I1604" s="13">
        <v>0</v>
      </c>
      <c r="J1604" s="13">
        <v>0</v>
      </c>
      <c r="K1604" s="14" t="str">
        <f>HYPERLINK("http://www.facebook.com/twitter","Facebook")</f>
        <v>Facebook</v>
      </c>
      <c r="L1604" s="13">
        <v>798</v>
      </c>
      <c r="M1604" s="13">
        <v>96</v>
      </c>
      <c r="N1604" s="13">
        <v>6</v>
      </c>
      <c r="O1604" s="15"/>
      <c r="P1604" s="6">
        <v>42026.716122685189</v>
      </c>
      <c r="Q1604" s="16" t="s">
        <v>5732</v>
      </c>
      <c r="R1604" s="17" t="s">
        <v>5733</v>
      </c>
      <c r="S1604" s="11" t="s">
        <v>5734</v>
      </c>
      <c r="T1604" s="12"/>
      <c r="U1604" s="10" t="str">
        <f>HYPERLINK("https://pbs.twimg.com/profile_images/1006886214669135874/JaItMarX.jpg","View")</f>
        <v>View</v>
      </c>
    </row>
    <row r="1605" spans="1:21" ht="51">
      <c r="A1605" s="6">
        <v>43441.121620370366</v>
      </c>
      <c r="B1605" s="7" t="str">
        <f>HYPERLINK("https://twitter.com/estebansilk","@estebansilk")</f>
        <v>@estebansilk</v>
      </c>
      <c r="C1605" s="8" t="s">
        <v>5735</v>
      </c>
      <c r="D1605" s="9" t="s">
        <v>5736</v>
      </c>
      <c r="E1605" s="10" t="str">
        <f>HYPERLINK("https://twitter.com/estebansilk/status/1070859219824459776","1070859219824459776")</f>
        <v>1070859219824459776</v>
      </c>
      <c r="F1605" s="12"/>
      <c r="G1605" s="12"/>
      <c r="H1605" s="12"/>
      <c r="I1605" s="13">
        <v>0</v>
      </c>
      <c r="J1605" s="13">
        <v>0</v>
      </c>
      <c r="K1605" s="14" t="str">
        <f>HYPERLINK("http://twitter.com/download/android","Twitter for Android")</f>
        <v>Twitter for Android</v>
      </c>
      <c r="L1605" s="13">
        <v>70</v>
      </c>
      <c r="M1605" s="13">
        <v>105</v>
      </c>
      <c r="N1605" s="13">
        <v>0</v>
      </c>
      <c r="O1605" s="15"/>
      <c r="P1605" s="6">
        <v>43341.053275462968</v>
      </c>
      <c r="Q1605" s="16" t="s">
        <v>5737</v>
      </c>
      <c r="R1605" s="17">
        <v>21</v>
      </c>
      <c r="S1605" s="12"/>
      <c r="T1605" s="12"/>
      <c r="U1605" s="10" t="str">
        <f>HYPERLINK("https://pbs.twimg.com/profile_images/1068314589820006402/DUQZ_3ua.jpg","View")</f>
        <v>View</v>
      </c>
    </row>
    <row r="1606" spans="1:21" ht="20.399999999999999">
      <c r="A1606" s="6">
        <v>43441.121134259258</v>
      </c>
      <c r="B1606" s="7" t="str">
        <f t="shared" ref="B1606:B1607" si="280">HYPERLINK("https://twitter.com/sumariumcom","@sumariumcom")</f>
        <v>@sumariumcom</v>
      </c>
      <c r="C1606" s="8" t="s">
        <v>4525</v>
      </c>
      <c r="D1606" s="9" t="s">
        <v>4680</v>
      </c>
      <c r="E1606" s="10" t="str">
        <f>HYPERLINK("https://twitter.com/sumariumcom/status/1070859043437199361","1070859043437199361")</f>
        <v>1070859043437199361</v>
      </c>
      <c r="F1606" s="11" t="s">
        <v>4527</v>
      </c>
      <c r="G1606" s="11" t="s">
        <v>5738</v>
      </c>
      <c r="H1606" s="12"/>
      <c r="I1606" s="13">
        <v>5</v>
      </c>
      <c r="J1606" s="13">
        <v>2</v>
      </c>
      <c r="K1606" s="14" t="str">
        <f t="shared" ref="K1606:K1607" si="281">HYPERLINK("https://about.twitter.com/products/tweetdeck","TweetDeck")</f>
        <v>TweetDeck</v>
      </c>
      <c r="L1606" s="13">
        <v>164401</v>
      </c>
      <c r="M1606" s="13">
        <v>996</v>
      </c>
      <c r="N1606" s="13">
        <v>1122</v>
      </c>
      <c r="O1606" s="15"/>
      <c r="P1606" s="6">
        <v>40977.809594907405</v>
      </c>
      <c r="Q1606" s="16" t="s">
        <v>4529</v>
      </c>
      <c r="R1606" s="19"/>
      <c r="S1606" s="11" t="s">
        <v>4530</v>
      </c>
      <c r="T1606" s="12"/>
      <c r="U1606" s="10" t="str">
        <f t="shared" ref="U1606:U1607" si="282">HYPERLINK("https://pbs.twimg.com/profile_images/1061987847874469888/mok5IDTt.jpg","View")</f>
        <v>View</v>
      </c>
    </row>
    <row r="1607" spans="1:21" ht="20.399999999999999">
      <c r="A1607" s="6">
        <v>43441.120138888888</v>
      </c>
      <c r="B1607" s="7" t="str">
        <f t="shared" si="280"/>
        <v>@sumariumcom</v>
      </c>
      <c r="C1607" s="8" t="s">
        <v>4525</v>
      </c>
      <c r="D1607" s="9" t="s">
        <v>4526</v>
      </c>
      <c r="E1607" s="10" t="str">
        <f>HYPERLINK("https://twitter.com/sumariumcom/status/1070858683007946752","1070858683007946752")</f>
        <v>1070858683007946752</v>
      </c>
      <c r="F1607" s="11" t="s">
        <v>4527</v>
      </c>
      <c r="G1607" s="11" t="s">
        <v>5712</v>
      </c>
      <c r="H1607" s="12"/>
      <c r="I1607" s="13">
        <v>8</v>
      </c>
      <c r="J1607" s="13">
        <v>3</v>
      </c>
      <c r="K1607" s="14" t="str">
        <f t="shared" si="281"/>
        <v>TweetDeck</v>
      </c>
      <c r="L1607" s="13">
        <v>164401</v>
      </c>
      <c r="M1607" s="13">
        <v>996</v>
      </c>
      <c r="N1607" s="13">
        <v>1122</v>
      </c>
      <c r="O1607" s="15"/>
      <c r="P1607" s="6">
        <v>40977.809594907405</v>
      </c>
      <c r="Q1607" s="16" t="s">
        <v>4529</v>
      </c>
      <c r="R1607" s="19"/>
      <c r="S1607" s="11" t="s">
        <v>4530</v>
      </c>
      <c r="T1607" s="12"/>
      <c r="U1607" s="10" t="str">
        <f t="shared" si="282"/>
        <v>View</v>
      </c>
    </row>
    <row r="1608" spans="1:21" ht="30.6">
      <c r="A1608" s="6">
        <v>43441.095995370371</v>
      </c>
      <c r="B1608" s="7" t="str">
        <f>HYPERLINK("https://twitter.com/cryingwithsatan","@cryingwithsatan")</f>
        <v>@cryingwithsatan</v>
      </c>
      <c r="C1608" s="8" t="s">
        <v>5739</v>
      </c>
      <c r="D1608" s="9" t="s">
        <v>5740</v>
      </c>
      <c r="E1608" s="10" t="str">
        <f>HYPERLINK("https://twitter.com/cryingwithsatan/status/1070849934247768064","1070849934247768064")</f>
        <v>1070849934247768064</v>
      </c>
      <c r="F1608" s="12"/>
      <c r="G1608" s="12"/>
      <c r="H1608" s="12"/>
      <c r="I1608" s="13">
        <v>1</v>
      </c>
      <c r="J1608" s="13">
        <v>1</v>
      </c>
      <c r="K1608" s="14" t="str">
        <f t="shared" ref="K1608:K1609" si="283">HYPERLINK("http://twitter.com/download/android","Twitter for Android")</f>
        <v>Twitter for Android</v>
      </c>
      <c r="L1608" s="13">
        <v>2304</v>
      </c>
      <c r="M1608" s="13">
        <v>2082</v>
      </c>
      <c r="N1608" s="13">
        <v>29</v>
      </c>
      <c r="O1608" s="15"/>
      <c r="P1608" s="6">
        <v>41616.736539351856</v>
      </c>
      <c r="Q1608" s="16" t="s">
        <v>5741</v>
      </c>
      <c r="R1608" s="17" t="s">
        <v>5742</v>
      </c>
      <c r="S1608" s="11" t="s">
        <v>5743</v>
      </c>
      <c r="T1608" s="12"/>
      <c r="U1608" s="10" t="str">
        <f>HYPERLINK("https://pbs.twimg.com/profile_images/1037791907085086720/Utozd-dG.jpg","View")</f>
        <v>View</v>
      </c>
    </row>
    <row r="1609" spans="1:21" ht="13.2">
      <c r="A1609" s="6">
        <v>43441.094722222224</v>
      </c>
      <c r="B1609" s="7" t="str">
        <f>HYPERLINK("https://twitter.com/RTurdero","@RTurdero")</f>
        <v>@RTurdero</v>
      </c>
      <c r="C1609" s="8" t="s">
        <v>5744</v>
      </c>
      <c r="D1609" s="9" t="s">
        <v>5745</v>
      </c>
      <c r="E1609" s="10" t="str">
        <f>HYPERLINK("https://twitter.com/RTurdero/status/1070849472287203328","1070849472287203328")</f>
        <v>1070849472287203328</v>
      </c>
      <c r="F1609" s="12"/>
      <c r="G1609" s="12"/>
      <c r="H1609" s="12"/>
      <c r="I1609" s="13">
        <v>0</v>
      </c>
      <c r="J1609" s="13">
        <v>0</v>
      </c>
      <c r="K1609" s="14" t="str">
        <f t="shared" si="283"/>
        <v>Twitter for Android</v>
      </c>
      <c r="L1609" s="13">
        <v>511</v>
      </c>
      <c r="M1609" s="13">
        <v>780</v>
      </c>
      <c r="N1609" s="13">
        <v>10</v>
      </c>
      <c r="O1609" s="15"/>
      <c r="P1609" s="6">
        <v>40482.720659722225</v>
      </c>
      <c r="Q1609" s="16" t="s">
        <v>1753</v>
      </c>
      <c r="R1609" s="17" t="s">
        <v>5746</v>
      </c>
      <c r="S1609" s="12"/>
      <c r="T1609" s="12"/>
      <c r="U1609" s="10" t="str">
        <f>HYPERLINK("https://pbs.twimg.com/profile_images/2631901565/47224b44b0afe5aa2d29b23af3baca1f.png","View")</f>
        <v>View</v>
      </c>
    </row>
    <row r="1610" spans="1:21" ht="30.6">
      <c r="A1610" s="6">
        <v>43441.093506944446</v>
      </c>
      <c r="B1610" s="7" t="str">
        <f>HYPERLINK("https://twitter.com/periodicovzlano","@periodicovzlano")</f>
        <v>@periodicovzlano</v>
      </c>
      <c r="C1610" s="8" t="s">
        <v>869</v>
      </c>
      <c r="D1610" s="9" t="s">
        <v>3001</v>
      </c>
      <c r="E1610" s="10" t="str">
        <f>HYPERLINK("https://twitter.com/periodicovzlano/status/1070849031201525760","1070849031201525760")</f>
        <v>1070849031201525760</v>
      </c>
      <c r="F1610" s="11" t="s">
        <v>2757</v>
      </c>
      <c r="G1610" s="11" t="s">
        <v>5747</v>
      </c>
      <c r="H1610" s="12"/>
      <c r="I1610" s="13">
        <v>0</v>
      </c>
      <c r="J1610" s="13">
        <v>0</v>
      </c>
      <c r="K1610" s="14" t="str">
        <f>HYPERLINK("http://epmundo.com","Tuiteo TOP EP (1)")</f>
        <v>Tuiteo TOP EP (1)</v>
      </c>
      <c r="L1610" s="13">
        <v>479694</v>
      </c>
      <c r="M1610" s="13">
        <v>358804</v>
      </c>
      <c r="N1610" s="13">
        <v>1295</v>
      </c>
      <c r="O1610" s="15"/>
      <c r="P1610" s="6">
        <v>40663.3512962963</v>
      </c>
      <c r="Q1610" s="16" t="s">
        <v>871</v>
      </c>
      <c r="R1610" s="17" t="s">
        <v>872</v>
      </c>
      <c r="S1610" s="11" t="s">
        <v>873</v>
      </c>
      <c r="T1610" s="12"/>
      <c r="U1610" s="10" t="str">
        <f>HYPERLINK("https://pbs.twimg.com/profile_images/958328579250638849/MCz7Q8U6.jpg","View")</f>
        <v>View</v>
      </c>
    </row>
    <row r="1611" spans="1:21" ht="30.6">
      <c r="A1611" s="6">
        <v>43441.091828703706</v>
      </c>
      <c r="B1611" s="7" t="str">
        <f>HYPERLINK("https://twitter.com/pepeonet","@pepeonet")</f>
        <v>@pepeonet</v>
      </c>
      <c r="C1611" s="8" t="s">
        <v>5748</v>
      </c>
      <c r="D1611" s="9" t="s">
        <v>5749</v>
      </c>
      <c r="E1611" s="10" t="str">
        <f>HYPERLINK("https://twitter.com/pepeonet/status/1070848422889033728","1070848422889033728")</f>
        <v>1070848422889033728</v>
      </c>
      <c r="F1611" s="11" t="s">
        <v>5750</v>
      </c>
      <c r="G1611" s="12"/>
      <c r="H1611" s="12"/>
      <c r="I1611" s="13">
        <v>11</v>
      </c>
      <c r="J1611" s="13">
        <v>17</v>
      </c>
      <c r="K1611" s="14" t="str">
        <f>HYPERLINK("http://twitter.com/download/iphone","Twitter for iPhone")</f>
        <v>Twitter for iPhone</v>
      </c>
      <c r="L1611" s="13">
        <v>68821</v>
      </c>
      <c r="M1611" s="13">
        <v>989</v>
      </c>
      <c r="N1611" s="13">
        <v>1125</v>
      </c>
      <c r="O1611" s="18" t="s">
        <v>41</v>
      </c>
      <c r="P1611" s="6">
        <v>40728.848923611113</v>
      </c>
      <c r="Q1611" s="12"/>
      <c r="R1611" s="17" t="s">
        <v>5751</v>
      </c>
      <c r="S1611" s="16" t="s">
        <v>5752</v>
      </c>
      <c r="T1611" s="12"/>
      <c r="U1611" s="10" t="str">
        <f>HYPERLINK("https://pbs.twimg.com/profile_images/378800000132278563/72d0f29e8755ee1d40bcb02e72473627.jpeg","View")</f>
        <v>View</v>
      </c>
    </row>
    <row r="1612" spans="1:21" ht="51">
      <c r="A1612" s="6">
        <v>43441.089363425926</v>
      </c>
      <c r="B1612" s="7" t="str">
        <f>HYPERLINK("https://twitter.com/UNWatch_es","@UNWatch_es")</f>
        <v>@UNWatch_es</v>
      </c>
      <c r="C1612" s="8" t="s">
        <v>5754</v>
      </c>
      <c r="D1612" s="9" t="s">
        <v>5755</v>
      </c>
      <c r="E1612" s="10" t="str">
        <f>HYPERLINK("https://twitter.com/UNWatch_es/status/1070847533331701761","1070847533331701761")</f>
        <v>1070847533331701761</v>
      </c>
      <c r="F1612" s="11" t="s">
        <v>5756</v>
      </c>
      <c r="G1612" s="12"/>
      <c r="H1612" s="12"/>
      <c r="I1612" s="13">
        <v>0</v>
      </c>
      <c r="J1612" s="13">
        <v>0</v>
      </c>
      <c r="K1612" s="14" t="str">
        <f>HYPERLINK("http://twitter.com","Twitter Web Client")</f>
        <v>Twitter Web Client</v>
      </c>
      <c r="L1612" s="13">
        <v>1383</v>
      </c>
      <c r="M1612" s="13">
        <v>308</v>
      </c>
      <c r="N1612" s="13">
        <v>22</v>
      </c>
      <c r="O1612" s="15"/>
      <c r="P1612" s="6">
        <v>41382.675300925926</v>
      </c>
      <c r="Q1612" s="16" t="s">
        <v>5757</v>
      </c>
      <c r="R1612" s="17" t="s">
        <v>5758</v>
      </c>
      <c r="S1612" s="11" t="s">
        <v>5759</v>
      </c>
      <c r="T1612" s="12"/>
      <c r="U1612" s="10" t="str">
        <f>HYPERLINK("https://pbs.twimg.com/profile_images/964476514988384257/EOAcdXOs.jpg","View")</f>
        <v>View</v>
      </c>
    </row>
    <row r="1613" spans="1:21" ht="30.6">
      <c r="A1613" s="6">
        <v>43441.082256944443</v>
      </c>
      <c r="B1613" s="7" t="str">
        <f>HYPERLINK("https://twitter.com/sr_camarero","@sr_camarero")</f>
        <v>@sr_camarero</v>
      </c>
      <c r="C1613" s="8" t="s">
        <v>5763</v>
      </c>
      <c r="D1613" s="9" t="s">
        <v>4318</v>
      </c>
      <c r="E1613" s="10" t="str">
        <f>HYPERLINK("https://twitter.com/sr_camarero/status/1070844956946898945","1070844956946898945")</f>
        <v>1070844956946898945</v>
      </c>
      <c r="F1613" s="11" t="s">
        <v>246</v>
      </c>
      <c r="G1613" s="12"/>
      <c r="H1613" s="12"/>
      <c r="I1613" s="13">
        <v>0</v>
      </c>
      <c r="J1613" s="13">
        <v>0</v>
      </c>
      <c r="K1613" s="14" t="str">
        <f>HYPERLINK("http://twitter.com/download/android","Twitter for Android")</f>
        <v>Twitter for Android</v>
      </c>
      <c r="L1613" s="13">
        <v>1143</v>
      </c>
      <c r="M1613" s="13">
        <v>1491</v>
      </c>
      <c r="N1613" s="13">
        <v>8</v>
      </c>
      <c r="O1613" s="15"/>
      <c r="P1613" s="6">
        <v>40941.82130787037</v>
      </c>
      <c r="Q1613" s="16" t="s">
        <v>1881</v>
      </c>
      <c r="R1613" s="17" t="s">
        <v>5764</v>
      </c>
      <c r="S1613" s="12"/>
      <c r="T1613" s="12"/>
      <c r="U1613" s="10" t="str">
        <f>HYPERLINK("https://pbs.twimg.com/profile_images/676880826102099971/r9FZaUY_.jpg","View")</f>
        <v>View</v>
      </c>
    </row>
    <row r="1614" spans="1:21" ht="20.399999999999999">
      <c r="A1614" s="6">
        <v>43441.081203703703</v>
      </c>
      <c r="B1614" s="7" t="str">
        <f>HYPERLINK("https://twitter.com/sumariumcom","@sumariumcom")</f>
        <v>@sumariumcom</v>
      </c>
      <c r="C1614" s="8" t="s">
        <v>4525</v>
      </c>
      <c r="D1614" s="9" t="s">
        <v>4680</v>
      </c>
      <c r="E1614" s="10" t="str">
        <f>HYPERLINK("https://twitter.com/sumariumcom/status/1070844572513853442","1070844572513853442")</f>
        <v>1070844572513853442</v>
      </c>
      <c r="F1614" s="11" t="s">
        <v>4681</v>
      </c>
      <c r="G1614" s="11" t="s">
        <v>5738</v>
      </c>
      <c r="H1614" s="12"/>
      <c r="I1614" s="13">
        <v>0</v>
      </c>
      <c r="J1614" s="13">
        <v>0</v>
      </c>
      <c r="K1614" s="14" t="str">
        <f>HYPERLINK("https://about.twitter.com/products/tweetdeck","TweetDeck")</f>
        <v>TweetDeck</v>
      </c>
      <c r="L1614" s="13">
        <v>164401</v>
      </c>
      <c r="M1614" s="13">
        <v>996</v>
      </c>
      <c r="N1614" s="13">
        <v>1122</v>
      </c>
      <c r="O1614" s="15"/>
      <c r="P1614" s="6">
        <v>40977.809594907405</v>
      </c>
      <c r="Q1614" s="16" t="s">
        <v>4529</v>
      </c>
      <c r="R1614" s="19"/>
      <c r="S1614" s="11" t="s">
        <v>4530</v>
      </c>
      <c r="T1614" s="12"/>
      <c r="U1614" s="10" t="str">
        <f>HYPERLINK("https://pbs.twimg.com/profile_images/1061987847874469888/mok5IDTt.jpg","View")</f>
        <v>View</v>
      </c>
    </row>
    <row r="1615" spans="1:21" ht="40.799999999999997">
      <c r="A1615" s="6">
        <v>43441.075567129628</v>
      </c>
      <c r="B1615" s="7" t="str">
        <f>HYPERLINK("https://twitter.com/pilar_balado","@pilar_balado")</f>
        <v>@pilar_balado</v>
      </c>
      <c r="C1615" s="8" t="s">
        <v>2305</v>
      </c>
      <c r="D1615" s="9" t="s">
        <v>5765</v>
      </c>
      <c r="E1615" s="10" t="str">
        <f>HYPERLINK("https://twitter.com/pilar_balado/status/1070842532374941697","1070842532374941697")</f>
        <v>1070842532374941697</v>
      </c>
      <c r="F1615" s="11" t="s">
        <v>5766</v>
      </c>
      <c r="G1615" s="12"/>
      <c r="H1615" s="12"/>
      <c r="I1615" s="13">
        <v>0</v>
      </c>
      <c r="J1615" s="13">
        <v>0</v>
      </c>
      <c r="K1615" s="14" t="str">
        <f>HYPERLINK("http://twitter.com/download/android","Twitter for Android")</f>
        <v>Twitter for Android</v>
      </c>
      <c r="L1615" s="13">
        <v>1393</v>
      </c>
      <c r="M1615" s="13">
        <v>1017</v>
      </c>
      <c r="N1615" s="13">
        <v>186</v>
      </c>
      <c r="O1615" s="15"/>
      <c r="P1615" s="6">
        <v>41866.857129629629</v>
      </c>
      <c r="Q1615" s="12"/>
      <c r="R1615" s="17" t="s">
        <v>2307</v>
      </c>
      <c r="S1615" s="12"/>
      <c r="T1615" s="12"/>
      <c r="U1615" s="10" t="str">
        <f>HYPERLINK("https://pbs.twimg.com/profile_images/539512876017664000/3akyRwTo.jpeg","View")</f>
        <v>View</v>
      </c>
    </row>
    <row r="1616" spans="1:21" ht="20.399999999999999">
      <c r="A1616" s="6">
        <v>43441.075370370367</v>
      </c>
      <c r="B1616" s="7" t="str">
        <f>HYPERLINK("https://twitter.com/isitaymeme","@isitaymeme")</f>
        <v>@isitaymeme</v>
      </c>
      <c r="C1616" s="8" t="s">
        <v>5767</v>
      </c>
      <c r="D1616" s="9" t="s">
        <v>5252</v>
      </c>
      <c r="E1616" s="10" t="str">
        <f>HYPERLINK("https://twitter.com/isitaymeme/status/1070842459117285376","1070842459117285376")</f>
        <v>1070842459117285376</v>
      </c>
      <c r="F1616" s="11" t="s">
        <v>5253</v>
      </c>
      <c r="G1616" s="12"/>
      <c r="H1616" s="12"/>
      <c r="I1616" s="13">
        <v>0</v>
      </c>
      <c r="J1616" s="13">
        <v>0</v>
      </c>
      <c r="K1616" s="14" t="str">
        <f>HYPERLINK("http://twitter.com","Twitter Web Client")</f>
        <v>Twitter Web Client</v>
      </c>
      <c r="L1616" s="13">
        <v>6640</v>
      </c>
      <c r="M1616" s="13">
        <v>7007</v>
      </c>
      <c r="N1616" s="13">
        <v>283</v>
      </c>
      <c r="O1616" s="15"/>
      <c r="P1616" s="6">
        <v>41052.835312499999</v>
      </c>
      <c r="Q1616" s="16" t="s">
        <v>5768</v>
      </c>
      <c r="R1616" s="17" t="s">
        <v>5769</v>
      </c>
      <c r="S1616" s="12"/>
      <c r="T1616" s="12"/>
      <c r="U1616" s="10" t="str">
        <f>HYPERLINK("https://pbs.twimg.com/profile_images/1066488062413279233/acX7vm0b.jpg","View")</f>
        <v>View</v>
      </c>
    </row>
    <row r="1617" spans="1:21" ht="40.799999999999997">
      <c r="A1617" s="6">
        <v>43441.073009259257</v>
      </c>
      <c r="B1617" s="7" t="str">
        <f>HYPERLINK("https://twitter.com/lextresabogados","@lextresabogados")</f>
        <v>@lextresabogados</v>
      </c>
      <c r="C1617" s="8" t="s">
        <v>226</v>
      </c>
      <c r="D1617" s="9" t="s">
        <v>5770</v>
      </c>
      <c r="E1617" s="10" t="str">
        <f>HYPERLINK("https://twitter.com/lextresabogados/status/1070841603579887627","1070841603579887627")</f>
        <v>1070841603579887627</v>
      </c>
      <c r="F1617" s="11" t="s">
        <v>5648</v>
      </c>
      <c r="G1617" s="11" t="s">
        <v>5771</v>
      </c>
      <c r="H1617" s="12"/>
      <c r="I1617" s="13">
        <v>0</v>
      </c>
      <c r="J1617" s="13">
        <v>0</v>
      </c>
      <c r="K1617" s="14" t="str">
        <f>HYPERLINK("http://35.180.36.179","botize nueva")</f>
        <v>botize nueva</v>
      </c>
      <c r="L1617" s="13">
        <v>2912</v>
      </c>
      <c r="M1617" s="13">
        <v>3525</v>
      </c>
      <c r="N1617" s="13">
        <v>26</v>
      </c>
      <c r="O1617" s="15"/>
      <c r="P1617" s="6">
        <v>42880.770949074074</v>
      </c>
      <c r="Q1617" s="16" t="s">
        <v>230</v>
      </c>
      <c r="R1617" s="17" t="s">
        <v>231</v>
      </c>
      <c r="S1617" s="11" t="s">
        <v>232</v>
      </c>
      <c r="T1617" s="12"/>
      <c r="U1617" s="10" t="str">
        <f>HYPERLINK("https://pbs.twimg.com/profile_images/1068056978679898113/YnjKwiVy.jpg","View")</f>
        <v>View</v>
      </c>
    </row>
    <row r="1618" spans="1:21" ht="40.799999999999997">
      <c r="A1618" s="6">
        <v>43441.072916666672</v>
      </c>
      <c r="B1618" s="7" t="str">
        <f>HYPERLINK("https://twitter.com/larazon_es","@larazon_es")</f>
        <v>@larazon_es</v>
      </c>
      <c r="C1618" s="8" t="s">
        <v>982</v>
      </c>
      <c r="D1618" s="9" t="s">
        <v>5645</v>
      </c>
      <c r="E1618" s="10" t="str">
        <f>HYPERLINK("https://twitter.com/larazon_es/status/1070841573192163328","1070841573192163328")</f>
        <v>1070841573192163328</v>
      </c>
      <c r="F1618" s="11" t="s">
        <v>5648</v>
      </c>
      <c r="G1618" s="11" t="s">
        <v>5649</v>
      </c>
      <c r="H1618" s="12"/>
      <c r="I1618" s="13">
        <v>0</v>
      </c>
      <c r="J1618" s="13">
        <v>0</v>
      </c>
      <c r="K1618" s="14" t="str">
        <f>HYPERLINK("http://dogtrack.es","DogTrack_Oficial")</f>
        <v>DogTrack_Oficial</v>
      </c>
      <c r="L1618" s="13">
        <v>442251</v>
      </c>
      <c r="M1618" s="13">
        <v>2961</v>
      </c>
      <c r="N1618" s="13">
        <v>6162</v>
      </c>
      <c r="O1618" s="18" t="s">
        <v>41</v>
      </c>
      <c r="P1618" s="6">
        <v>40218.530092592591</v>
      </c>
      <c r="Q1618" s="16" t="s">
        <v>60</v>
      </c>
      <c r="R1618" s="17" t="s">
        <v>985</v>
      </c>
      <c r="S1618" s="11" t="s">
        <v>986</v>
      </c>
      <c r="T1618" s="12"/>
      <c r="U1618" s="10" t="str">
        <f>HYPERLINK("https://pbs.twimg.com/profile_images/1038331271108341762/TPuwz6wc.jpg","View")</f>
        <v>View</v>
      </c>
    </row>
    <row r="1619" spans="1:21" ht="40.799999999999997">
      <c r="A1619" s="6">
        <v>43441.070740740739</v>
      </c>
      <c r="B1619" s="7" t="str">
        <f>HYPERLINK("https://twitter.com/nievesfouz","@nievesfouz")</f>
        <v>@nievesfouz</v>
      </c>
      <c r="C1619" s="8" t="s">
        <v>5772</v>
      </c>
      <c r="D1619" s="9" t="s">
        <v>5773</v>
      </c>
      <c r="E1619" s="10" t="str">
        <f>HYPERLINK("https://twitter.com/nievesfouz/status/1070840780615503872","1070840780615503872")</f>
        <v>1070840780615503872</v>
      </c>
      <c r="F1619" s="11" t="s">
        <v>5766</v>
      </c>
      <c r="G1619" s="12"/>
      <c r="H1619" s="12"/>
      <c r="I1619" s="13">
        <v>2</v>
      </c>
      <c r="J1619" s="13">
        <v>3</v>
      </c>
      <c r="K1619" s="14" t="str">
        <f t="shared" ref="K1619:K1620" si="284">HYPERLINK("http://twitter.com/download/iphone","Twitter for iPhone")</f>
        <v>Twitter for iPhone</v>
      </c>
      <c r="L1619" s="13">
        <v>2628</v>
      </c>
      <c r="M1619" s="13">
        <v>2736</v>
      </c>
      <c r="N1619" s="13">
        <v>40</v>
      </c>
      <c r="O1619" s="15"/>
      <c r="P1619" s="6">
        <v>41664.801840277782</v>
      </c>
      <c r="Q1619" s="16" t="s">
        <v>5774</v>
      </c>
      <c r="R1619" s="17" t="s">
        <v>5775</v>
      </c>
      <c r="S1619" s="12"/>
      <c r="T1619" s="12"/>
      <c r="U1619" s="10" t="str">
        <f>HYPERLINK("https://pbs.twimg.com/profile_images/1070350690583764993/l6t0wouj.jpg","View")</f>
        <v>View</v>
      </c>
    </row>
    <row r="1620" spans="1:21" ht="20.399999999999999">
      <c r="A1620" s="6">
        <v>43441.070358796293</v>
      </c>
      <c r="B1620" s="7" t="str">
        <f>HYPERLINK("https://twitter.com/peremcc","@peremcc")</f>
        <v>@peremcc</v>
      </c>
      <c r="C1620" s="8" t="s">
        <v>5776</v>
      </c>
      <c r="D1620" s="9" t="s">
        <v>3560</v>
      </c>
      <c r="E1620" s="10" t="str">
        <f>HYPERLINK("https://twitter.com/peremcc/status/1070840642807492608","1070840642807492608")</f>
        <v>1070840642807492608</v>
      </c>
      <c r="F1620" s="11" t="s">
        <v>1904</v>
      </c>
      <c r="G1620" s="12"/>
      <c r="H1620" s="12"/>
      <c r="I1620" s="13">
        <v>0</v>
      </c>
      <c r="J1620" s="13">
        <v>0</v>
      </c>
      <c r="K1620" s="14" t="str">
        <f t="shared" si="284"/>
        <v>Twitter for iPhone</v>
      </c>
      <c r="L1620" s="13">
        <v>1204</v>
      </c>
      <c r="M1620" s="13">
        <v>1149</v>
      </c>
      <c r="N1620" s="13">
        <v>60</v>
      </c>
      <c r="O1620" s="15"/>
      <c r="P1620" s="6">
        <v>40316.078148148146</v>
      </c>
      <c r="Q1620" s="16" t="s">
        <v>5777</v>
      </c>
      <c r="R1620" s="17" t="s">
        <v>5778</v>
      </c>
      <c r="S1620" s="12"/>
      <c r="T1620" s="12"/>
      <c r="U1620" s="10" t="str">
        <f>HYPERLINK("https://pbs.twimg.com/profile_images/1067804882961395712/ocQB0f2g.jpg","View")</f>
        <v>View</v>
      </c>
    </row>
    <row r="1621" spans="1:21" ht="20.399999999999999">
      <c r="A1621" s="6">
        <v>43441.064537037033</v>
      </c>
      <c r="B1621" s="7" t="str">
        <f>HYPERLINK("https://twitter.com/alquecla","@alquecla")</f>
        <v>@alquecla</v>
      </c>
      <c r="C1621" s="8" t="s">
        <v>5779</v>
      </c>
      <c r="D1621" s="9" t="s">
        <v>5780</v>
      </c>
      <c r="E1621" s="10" t="str">
        <f>HYPERLINK("https://twitter.com/alquecla/status/1070838533487820800","1070838533487820800")</f>
        <v>1070838533487820800</v>
      </c>
      <c r="F1621" s="12"/>
      <c r="G1621" s="12"/>
      <c r="H1621" s="12"/>
      <c r="I1621" s="13">
        <v>1</v>
      </c>
      <c r="J1621" s="13">
        <v>1</v>
      </c>
      <c r="K1621" s="14" t="str">
        <f>HYPERLINK("http://twitter.com","Twitter Web Client")</f>
        <v>Twitter Web Client</v>
      </c>
      <c r="L1621" s="13">
        <v>98</v>
      </c>
      <c r="M1621" s="13">
        <v>459</v>
      </c>
      <c r="N1621" s="13">
        <v>0</v>
      </c>
      <c r="O1621" s="15"/>
      <c r="P1621" s="6">
        <v>43374.553344907406</v>
      </c>
      <c r="Q1621" s="12"/>
      <c r="R1621" s="17" t="s">
        <v>5781</v>
      </c>
      <c r="S1621" s="12"/>
      <c r="T1621" s="12"/>
      <c r="U1621" s="10" t="str">
        <f>HYPERLINK("https://pbs.twimg.com/profile_images/1046750376215678976/DRZJ22bi.jpg","View")</f>
        <v>View</v>
      </c>
    </row>
    <row r="1622" spans="1:21" ht="30.6">
      <c r="A1622" s="6">
        <v>43441.061828703707</v>
      </c>
      <c r="B1622" s="7" t="str">
        <f>HYPERLINK("https://twitter.com/mysticdyk3","@mysticdyk3")</f>
        <v>@mysticdyk3</v>
      </c>
      <c r="C1622" s="8" t="s">
        <v>5779</v>
      </c>
      <c r="D1622" s="9" t="s">
        <v>5782</v>
      </c>
      <c r="E1622" s="10" t="str">
        <f>HYPERLINK("https://twitter.com/mysticdyk3/status/1070837551336964097","1070837551336964097")</f>
        <v>1070837551336964097</v>
      </c>
      <c r="F1622" s="12"/>
      <c r="G1622" s="12"/>
      <c r="H1622" s="12"/>
      <c r="I1622" s="13">
        <v>0</v>
      </c>
      <c r="J1622" s="13">
        <v>1</v>
      </c>
      <c r="K1622" s="14" t="str">
        <f t="shared" ref="K1622:K1623" si="285">HYPERLINK("http://twitter.com/download/android","Twitter for Android")</f>
        <v>Twitter for Android</v>
      </c>
      <c r="L1622" s="13">
        <v>78</v>
      </c>
      <c r="M1622" s="13">
        <v>647</v>
      </c>
      <c r="N1622" s="13">
        <v>0</v>
      </c>
      <c r="O1622" s="15"/>
      <c r="P1622" s="6">
        <v>43286.602719907409</v>
      </c>
      <c r="Q1622" s="16" t="s">
        <v>133</v>
      </c>
      <c r="R1622" s="17" t="s">
        <v>5783</v>
      </c>
      <c r="S1622" s="12"/>
      <c r="T1622" s="12"/>
      <c r="U1622" s="10" t="str">
        <f>HYPERLINK("https://pbs.twimg.com/profile_images/1070012630524399616/rXM5tSUs.jpg","View")</f>
        <v>View</v>
      </c>
    </row>
    <row r="1623" spans="1:21" ht="30.6">
      <c r="A1623" s="6">
        <v>43441.060057870374</v>
      </c>
      <c r="B1623" s="7" t="str">
        <f>HYPERLINK("https://twitter.com/viviruta","@viviruta")</f>
        <v>@viviruta</v>
      </c>
      <c r="C1623" s="8" t="s">
        <v>5784</v>
      </c>
      <c r="D1623" s="9" t="s">
        <v>5785</v>
      </c>
      <c r="E1623" s="10" t="str">
        <f>HYPERLINK("https://twitter.com/viviruta/status/1070836911747592192","1070836911747592192")</f>
        <v>1070836911747592192</v>
      </c>
      <c r="F1623" s="11" t="s">
        <v>467</v>
      </c>
      <c r="G1623" s="12"/>
      <c r="H1623" s="12"/>
      <c r="I1623" s="13">
        <v>0</v>
      </c>
      <c r="J1623" s="13">
        <v>0</v>
      </c>
      <c r="K1623" s="14" t="str">
        <f t="shared" si="285"/>
        <v>Twitter for Android</v>
      </c>
      <c r="L1623" s="13">
        <v>423</v>
      </c>
      <c r="M1623" s="13">
        <v>1048</v>
      </c>
      <c r="N1623" s="13">
        <v>5</v>
      </c>
      <c r="O1623" s="15"/>
      <c r="P1623" s="6">
        <v>40274.47828703704</v>
      </c>
      <c r="Q1623" s="16" t="s">
        <v>163</v>
      </c>
      <c r="R1623" s="19"/>
      <c r="S1623" s="11" t="s">
        <v>5786</v>
      </c>
      <c r="T1623" s="12"/>
      <c r="U1623" s="10" t="str">
        <f>HYPERLINK("https://pbs.twimg.com/profile_images/924700405396836352/axaa6yGM.jpg","View")</f>
        <v>View</v>
      </c>
    </row>
    <row r="1624" spans="1:21" ht="71.400000000000006">
      <c r="A1624" s="6">
        <v>43441.055104166662</v>
      </c>
      <c r="B1624" s="7" t="str">
        <f>HYPERLINK("https://twitter.com/vctrae","@vctrae")</f>
        <v>@vctrae</v>
      </c>
      <c r="C1624" s="8" t="s">
        <v>5787</v>
      </c>
      <c r="D1624" s="9" t="s">
        <v>5788</v>
      </c>
      <c r="E1624" s="10" t="str">
        <f>HYPERLINK("https://twitter.com/vctrae/status/1070835115251679232","1070835115251679232")</f>
        <v>1070835115251679232</v>
      </c>
      <c r="F1624" s="11" t="s">
        <v>3368</v>
      </c>
      <c r="G1624" s="11" t="s">
        <v>3370</v>
      </c>
      <c r="H1624" s="12"/>
      <c r="I1624" s="13">
        <v>0</v>
      </c>
      <c r="J1624" s="13">
        <v>0</v>
      </c>
      <c r="K1624" s="14" t="str">
        <f>HYPERLINK("http://twitter.com/download/iphone","Twitter for iPhone")</f>
        <v>Twitter for iPhone</v>
      </c>
      <c r="L1624" s="13">
        <v>73</v>
      </c>
      <c r="M1624" s="13">
        <v>290</v>
      </c>
      <c r="N1624" s="13">
        <v>0</v>
      </c>
      <c r="O1624" s="15"/>
      <c r="P1624" s="6">
        <v>43261.93377314815</v>
      </c>
      <c r="Q1624" s="16" t="s">
        <v>147</v>
      </c>
      <c r="R1624" s="17" t="s">
        <v>5789</v>
      </c>
      <c r="S1624" s="12"/>
      <c r="T1624" s="12"/>
      <c r="U1624" s="10" t="str">
        <f>HYPERLINK("https://pbs.twimg.com/profile_images/1047443764862767104/3Ikxcal6.jpg","View")</f>
        <v>View</v>
      </c>
    </row>
    <row r="1625" spans="1:21" ht="112.2">
      <c r="A1625" s="6">
        <v>43441.054513888885</v>
      </c>
      <c r="B1625" s="7" t="str">
        <f>HYPERLINK("https://twitter.com/catiberic","@catiberic")</f>
        <v>@catiberic</v>
      </c>
      <c r="C1625" s="8" t="s">
        <v>4793</v>
      </c>
      <c r="D1625" s="9" t="s">
        <v>5689</v>
      </c>
      <c r="E1625" s="10" t="str">
        <f>HYPERLINK("https://twitter.com/catiberic/status/1070834903175057408","1070834903175057408")</f>
        <v>1070834903175057408</v>
      </c>
      <c r="F1625" s="11" t="s">
        <v>1489</v>
      </c>
      <c r="G1625" s="11" t="s">
        <v>1490</v>
      </c>
      <c r="H1625" s="12"/>
      <c r="I1625" s="13">
        <v>0</v>
      </c>
      <c r="J1625" s="13">
        <v>0</v>
      </c>
      <c r="K1625" s="14" t="str">
        <f>HYPERLINK("http://twitter.com/download/android","Twitter for Android")</f>
        <v>Twitter for Android</v>
      </c>
      <c r="L1625" s="13">
        <v>556</v>
      </c>
      <c r="M1625" s="13">
        <v>656</v>
      </c>
      <c r="N1625" s="13">
        <v>1</v>
      </c>
      <c r="O1625" s="15"/>
      <c r="P1625" s="6">
        <v>43107.03225694444</v>
      </c>
      <c r="Q1625" s="12"/>
      <c r="R1625" s="17" t="s">
        <v>4796</v>
      </c>
      <c r="S1625" s="12"/>
      <c r="T1625" s="12"/>
      <c r="U1625" s="10" t="str">
        <f>HYPERLINK("https://pbs.twimg.com/profile_images/1041018260823728128/OoNgFG9b.jpg","View")</f>
        <v>View</v>
      </c>
    </row>
    <row r="1626" spans="1:21" ht="20.399999999999999">
      <c r="A1626" s="6">
        <v>43441.052500000005</v>
      </c>
      <c r="B1626" s="7" t="str">
        <f>HYPERLINK("https://twitter.com/sumariumcom","@sumariumcom")</f>
        <v>@sumariumcom</v>
      </c>
      <c r="C1626" s="8" t="s">
        <v>4525</v>
      </c>
      <c r="D1626" s="9" t="s">
        <v>4680</v>
      </c>
      <c r="E1626" s="10" t="str">
        <f>HYPERLINK("https://twitter.com/sumariumcom/status/1070834172263043072","1070834172263043072")</f>
        <v>1070834172263043072</v>
      </c>
      <c r="F1626" s="11" t="s">
        <v>4681</v>
      </c>
      <c r="G1626" s="11" t="s">
        <v>5738</v>
      </c>
      <c r="H1626" s="12"/>
      <c r="I1626" s="13">
        <v>1</v>
      </c>
      <c r="J1626" s="13">
        <v>0</v>
      </c>
      <c r="K1626" s="14" t="str">
        <f>HYPERLINK("https://about.twitter.com/products/tweetdeck","TweetDeck")</f>
        <v>TweetDeck</v>
      </c>
      <c r="L1626" s="13">
        <v>164401</v>
      </c>
      <c r="M1626" s="13">
        <v>996</v>
      </c>
      <c r="N1626" s="13">
        <v>1122</v>
      </c>
      <c r="O1626" s="15"/>
      <c r="P1626" s="6">
        <v>40977.809594907405</v>
      </c>
      <c r="Q1626" s="16" t="s">
        <v>4529</v>
      </c>
      <c r="R1626" s="19"/>
      <c r="S1626" s="11" t="s">
        <v>4530</v>
      </c>
      <c r="T1626" s="12"/>
      <c r="U1626" s="10" t="str">
        <f>HYPERLINK("https://pbs.twimg.com/profile_images/1061987847874469888/mok5IDTt.jpg","View")</f>
        <v>View</v>
      </c>
    </row>
    <row r="1627" spans="1:21" ht="40.799999999999997">
      <c r="A1627" s="6">
        <v>43441.051215277781</v>
      </c>
      <c r="B1627" s="7" t="str">
        <f>HYPERLINK("https://twitter.com/hartoconh","@hartoconh")</f>
        <v>@hartoconh</v>
      </c>
      <c r="C1627" s="8" t="s">
        <v>5790</v>
      </c>
      <c r="D1627" s="9" t="s">
        <v>5791</v>
      </c>
      <c r="E1627" s="10" t="str">
        <f>HYPERLINK("https://twitter.com/hartoconh/status/1070833708733775872","1070833708733775872")</f>
        <v>1070833708733775872</v>
      </c>
      <c r="F1627" s="12"/>
      <c r="G1627" s="12"/>
      <c r="H1627" s="12"/>
      <c r="I1627" s="13">
        <v>0</v>
      </c>
      <c r="J1627" s="13">
        <v>0</v>
      </c>
      <c r="K1627" s="14" t="str">
        <f>HYPERLINK("http://twitter.com/download/iphone","Twitter for iPhone")</f>
        <v>Twitter for iPhone</v>
      </c>
      <c r="L1627" s="13">
        <v>8</v>
      </c>
      <c r="M1627" s="13">
        <v>17</v>
      </c>
      <c r="N1627" s="13">
        <v>0</v>
      </c>
      <c r="O1627" s="15"/>
      <c r="P1627" s="6">
        <v>43440.559745370367</v>
      </c>
      <c r="Q1627" s="16" t="s">
        <v>60</v>
      </c>
      <c r="R1627" s="17" t="s">
        <v>5792</v>
      </c>
      <c r="S1627" s="12"/>
      <c r="T1627" s="12"/>
      <c r="U1627" s="10" t="str">
        <f>HYPERLINK("https://pbs.twimg.com/profile_images/1070856273657323520/Hw_LAs1j.jpg","View")</f>
        <v>View</v>
      </c>
    </row>
    <row r="1628" spans="1:21" ht="30.6">
      <c r="A1628" s="6">
        <v>43441.046979166669</v>
      </c>
      <c r="B1628" s="7" t="str">
        <f>HYPERLINK("https://twitter.com/sotano_pub","@sotano_pub")</f>
        <v>@sotano_pub</v>
      </c>
      <c r="C1628" s="8" t="s">
        <v>5793</v>
      </c>
      <c r="D1628" s="9" t="s">
        <v>5794</v>
      </c>
      <c r="E1628" s="10" t="str">
        <f>HYPERLINK("https://twitter.com/sotano_pub/status/1070832171101904896","1070832171101904896")</f>
        <v>1070832171101904896</v>
      </c>
      <c r="F1628" s="12"/>
      <c r="G1628" s="12"/>
      <c r="H1628" s="12"/>
      <c r="I1628" s="13">
        <v>0</v>
      </c>
      <c r="J1628" s="13">
        <v>0</v>
      </c>
      <c r="K1628" s="14" t="str">
        <f>HYPERLINK("http://www.facebook.com/twitter","Facebook")</f>
        <v>Facebook</v>
      </c>
      <c r="L1628" s="13">
        <v>1005</v>
      </c>
      <c r="M1628" s="13">
        <v>850</v>
      </c>
      <c r="N1628" s="13">
        <v>1</v>
      </c>
      <c r="O1628" s="15"/>
      <c r="P1628" s="6">
        <v>41857.800127314811</v>
      </c>
      <c r="Q1628" s="16" t="s">
        <v>5795</v>
      </c>
      <c r="R1628" s="17" t="s">
        <v>5796</v>
      </c>
      <c r="S1628" s="12"/>
      <c r="T1628" s="12"/>
      <c r="U1628" s="10" t="str">
        <f>HYPERLINK("https://pbs.twimg.com/profile_images/854067292023529472/IwU6AkOa.jpg","View")</f>
        <v>View</v>
      </c>
    </row>
    <row r="1629" spans="1:21" ht="51">
      <c r="A1629" s="6">
        <v>43441.045405092591</v>
      </c>
      <c r="B1629" s="7" t="str">
        <f>HYPERLINK("https://twitter.com/MariaDeJesusCG1","@MariaDeJesusCG1")</f>
        <v>@MariaDeJesusCG1</v>
      </c>
      <c r="C1629" s="8" t="s">
        <v>5713</v>
      </c>
      <c r="D1629" s="9" t="s">
        <v>5714</v>
      </c>
      <c r="E1629" s="10" t="str">
        <f>HYPERLINK("https://twitter.com/MariaDeJesusCG1/status/1070831602253611008","1070831602253611008")</f>
        <v>1070831602253611008</v>
      </c>
      <c r="F1629" s="12"/>
      <c r="G1629" s="12"/>
      <c r="H1629" s="12"/>
      <c r="I1629" s="13">
        <v>2</v>
      </c>
      <c r="J1629" s="13">
        <v>0</v>
      </c>
      <c r="K1629" s="14" t="str">
        <f t="shared" ref="K1629:K1630" si="286">HYPERLINK("http://twitter.com","Twitter Web Client")</f>
        <v>Twitter Web Client</v>
      </c>
      <c r="L1629" s="13">
        <v>5202</v>
      </c>
      <c r="M1629" s="13">
        <v>4940</v>
      </c>
      <c r="N1629" s="13">
        <v>55</v>
      </c>
      <c r="O1629" s="15"/>
      <c r="P1629" s="6">
        <v>41354.774907407409</v>
      </c>
      <c r="Q1629" s="16" t="s">
        <v>207</v>
      </c>
      <c r="R1629" s="17" t="s">
        <v>5717</v>
      </c>
      <c r="S1629" s="12"/>
      <c r="T1629" s="12"/>
      <c r="U1629" s="10" t="str">
        <f>HYPERLINK("https://pbs.twimg.com/profile_images/960227596494671872/3hEg6zQY.jpg","View")</f>
        <v>View</v>
      </c>
    </row>
    <row r="1630" spans="1:21" ht="30.6">
      <c r="A1630" s="6">
        <v>43441.045312499999</v>
      </c>
      <c r="B1630" s="7" t="str">
        <f>HYPERLINK("https://twitter.com/ruizverauk","@ruizverauk")</f>
        <v>@ruizverauk</v>
      </c>
      <c r="C1630" s="8" t="s">
        <v>1477</v>
      </c>
      <c r="D1630" s="9" t="s">
        <v>5718</v>
      </c>
      <c r="E1630" s="10" t="str">
        <f>HYPERLINK("https://twitter.com/ruizverauk/status/1070831568258822144","1070831568258822144")</f>
        <v>1070831568258822144</v>
      </c>
      <c r="F1630" s="11" t="s">
        <v>246</v>
      </c>
      <c r="G1630" s="12"/>
      <c r="H1630" s="12"/>
      <c r="I1630" s="13">
        <v>0</v>
      </c>
      <c r="J1630" s="13">
        <v>0</v>
      </c>
      <c r="K1630" s="14" t="str">
        <f t="shared" si="286"/>
        <v>Twitter Web Client</v>
      </c>
      <c r="L1630" s="13">
        <v>54</v>
      </c>
      <c r="M1630" s="13">
        <v>90</v>
      </c>
      <c r="N1630" s="13">
        <v>2</v>
      </c>
      <c r="O1630" s="15"/>
      <c r="P1630" s="6">
        <v>40614.55300925926</v>
      </c>
      <c r="Q1630" s="16" t="s">
        <v>1480</v>
      </c>
      <c r="R1630" s="17" t="s">
        <v>1481</v>
      </c>
      <c r="S1630" s="12"/>
      <c r="T1630" s="12"/>
      <c r="U1630" s="10" t="str">
        <f>HYPERLINK("https://pbs.twimg.com/profile_images/3319138888/25e28dc5293c455624397dbc0fd95af1.jpeg","View")</f>
        <v>View</v>
      </c>
    </row>
    <row r="1631" spans="1:21" ht="30.6">
      <c r="A1631" s="6">
        <v>43441.044722222221</v>
      </c>
      <c r="B1631" s="7" t="str">
        <f>HYPERLINK("https://twitter.com/sotano_pub","@sotano_pub")</f>
        <v>@sotano_pub</v>
      </c>
      <c r="C1631" s="8" t="s">
        <v>5793</v>
      </c>
      <c r="D1631" s="9" t="s">
        <v>5804</v>
      </c>
      <c r="E1631" s="10" t="str">
        <f>HYPERLINK("https://twitter.com/sotano_pub/status/1070831353812434945","1070831353812434945")</f>
        <v>1070831353812434945</v>
      </c>
      <c r="F1631" s="12"/>
      <c r="G1631" s="12"/>
      <c r="H1631" s="12"/>
      <c r="I1631" s="13">
        <v>0</v>
      </c>
      <c r="J1631" s="13">
        <v>0</v>
      </c>
      <c r="K1631" s="14" t="str">
        <f>HYPERLINK("http://www.facebook.com/twitter","Facebook")</f>
        <v>Facebook</v>
      </c>
      <c r="L1631" s="13">
        <v>1005</v>
      </c>
      <c r="M1631" s="13">
        <v>850</v>
      </c>
      <c r="N1631" s="13">
        <v>1</v>
      </c>
      <c r="O1631" s="15"/>
      <c r="P1631" s="6">
        <v>41857.800127314811</v>
      </c>
      <c r="Q1631" s="16" t="s">
        <v>5795</v>
      </c>
      <c r="R1631" s="17" t="s">
        <v>5796</v>
      </c>
      <c r="S1631" s="12"/>
      <c r="T1631" s="12"/>
      <c r="U1631" s="10" t="str">
        <f>HYPERLINK("https://pbs.twimg.com/profile_images/854067292023529472/IwU6AkOa.jpg","View")</f>
        <v>View</v>
      </c>
    </row>
    <row r="1632" spans="1:21" ht="51">
      <c r="A1632" s="6">
        <v>43441.044409722221</v>
      </c>
      <c r="B1632" s="7" t="str">
        <f>HYPERLINK("https://twitter.com/anguestar","@anguestar")</f>
        <v>@anguestar</v>
      </c>
      <c r="C1632" s="8" t="s">
        <v>5805</v>
      </c>
      <c r="D1632" s="9" t="s">
        <v>5806</v>
      </c>
      <c r="E1632" s="10" t="str">
        <f>HYPERLINK("https://twitter.com/anguestar/status/1070831241241522177","1070831241241522177")</f>
        <v>1070831241241522177</v>
      </c>
      <c r="F1632" s="12"/>
      <c r="G1632" s="12"/>
      <c r="H1632" s="12"/>
      <c r="I1632" s="13">
        <v>0</v>
      </c>
      <c r="J1632" s="13">
        <v>1</v>
      </c>
      <c r="K1632" s="14" t="str">
        <f>HYPERLINK("http://twitter.com","Twitter Web Client")</f>
        <v>Twitter Web Client</v>
      </c>
      <c r="L1632" s="13">
        <v>605</v>
      </c>
      <c r="M1632" s="13">
        <v>788</v>
      </c>
      <c r="N1632" s="13">
        <v>0</v>
      </c>
      <c r="O1632" s="15"/>
      <c r="P1632" s="6">
        <v>40169.819293981483</v>
      </c>
      <c r="Q1632" s="12"/>
      <c r="R1632" s="19"/>
      <c r="S1632" s="12"/>
      <c r="T1632" s="12"/>
      <c r="U1632" s="10" t="str">
        <f>HYPERLINK("https://pbs.twimg.com/profile_images/834186483137404928/F_WgPttZ.jpg","View")</f>
        <v>View</v>
      </c>
    </row>
    <row r="1633" spans="1:21" ht="20.399999999999999">
      <c r="A1633" s="6">
        <v>43441.043761574074</v>
      </c>
      <c r="B1633" s="7" t="str">
        <f>HYPERLINK("https://twitter.com/EP_Mundo","@EP_Mundo")</f>
        <v>@EP_Mundo</v>
      </c>
      <c r="C1633" s="8" t="s">
        <v>735</v>
      </c>
      <c r="D1633" s="9" t="s">
        <v>2756</v>
      </c>
      <c r="E1633" s="10" t="str">
        <f>HYPERLINK("https://twitter.com/EP_Mundo/status/1070831003835330560","1070831003835330560")</f>
        <v>1070831003835330560</v>
      </c>
      <c r="F1633" s="11" t="s">
        <v>2757</v>
      </c>
      <c r="G1633" s="11" t="s">
        <v>5807</v>
      </c>
      <c r="H1633" s="12"/>
      <c r="I1633" s="13">
        <v>0</v>
      </c>
      <c r="J1633" s="13">
        <v>0</v>
      </c>
      <c r="K1633" s="14" t="str">
        <f>HYPERLINK("http://epmundo.com","Tuiteo TOP EP (2)")</f>
        <v>Tuiteo TOP EP (2)</v>
      </c>
      <c r="L1633" s="13">
        <v>510220</v>
      </c>
      <c r="M1633" s="13">
        <v>301867</v>
      </c>
      <c r="N1633" s="13">
        <v>1363</v>
      </c>
      <c r="O1633" s="15"/>
      <c r="P1633" s="6">
        <v>40203.223078703704</v>
      </c>
      <c r="Q1633" s="12"/>
      <c r="R1633" s="17" t="s">
        <v>739</v>
      </c>
      <c r="S1633" s="11" t="s">
        <v>740</v>
      </c>
      <c r="T1633" s="12"/>
      <c r="U1633" s="10" t="str">
        <f>HYPERLINK("https://pbs.twimg.com/profile_images/958329583778099200/87-xiuzB.jpg","View")</f>
        <v>View</v>
      </c>
    </row>
    <row r="1634" spans="1:21" ht="40.799999999999997">
      <c r="A1634" s="6">
        <v>43441.041689814811</v>
      </c>
      <c r="B1634" s="7" t="str">
        <f>HYPERLINK("https://twitter.com/Unicanal","@Unicanal")</f>
        <v>@Unicanal</v>
      </c>
      <c r="C1634" s="8" t="s">
        <v>2299</v>
      </c>
      <c r="D1634" s="9" t="s">
        <v>5808</v>
      </c>
      <c r="E1634" s="10" t="str">
        <f>HYPERLINK("https://twitter.com/Unicanal/status/1070830256779595776","1070830256779595776")</f>
        <v>1070830256779595776</v>
      </c>
      <c r="F1634" s="12"/>
      <c r="G1634" s="11" t="s">
        <v>5809</v>
      </c>
      <c r="H1634" s="12"/>
      <c r="I1634" s="13">
        <v>0</v>
      </c>
      <c r="J1634" s="13">
        <v>0</v>
      </c>
      <c r="K1634" s="14" t="str">
        <f>HYPERLINK("http://twitter.com","Twitter Web Client")</f>
        <v>Twitter Web Client</v>
      </c>
      <c r="L1634" s="13">
        <v>214318</v>
      </c>
      <c r="M1634" s="13">
        <v>6005</v>
      </c>
      <c r="N1634" s="13">
        <v>363</v>
      </c>
      <c r="O1634" s="18" t="s">
        <v>41</v>
      </c>
      <c r="P1634" s="6">
        <v>40127.841111111113</v>
      </c>
      <c r="Q1634" s="16" t="s">
        <v>2302</v>
      </c>
      <c r="R1634" s="17" t="s">
        <v>2303</v>
      </c>
      <c r="S1634" s="11" t="s">
        <v>2304</v>
      </c>
      <c r="T1634" s="12"/>
      <c r="U1634" s="10" t="str">
        <f>HYPERLINK("https://pbs.twimg.com/profile_images/1057967036029157377/_rcrZ4O8.jpg","View")</f>
        <v>View</v>
      </c>
    </row>
    <row r="1635" spans="1:21" ht="30.6">
      <c r="A1635" s="6">
        <v>43441.040567129632</v>
      </c>
      <c r="B1635" s="7" t="str">
        <f>HYPERLINK("https://twitter.com/AGUIARMOR","@AGUIARMOR")</f>
        <v>@AGUIARMOR</v>
      </c>
      <c r="C1635" s="8" t="s">
        <v>5810</v>
      </c>
      <c r="D1635" s="9" t="s">
        <v>5811</v>
      </c>
      <c r="E1635" s="10" t="str">
        <f>HYPERLINK("https://twitter.com/AGUIARMOR/status/1070829846652207104","1070829846652207104")</f>
        <v>1070829846652207104</v>
      </c>
      <c r="F1635" s="11" t="s">
        <v>5812</v>
      </c>
      <c r="G1635" s="12"/>
      <c r="H1635" s="12"/>
      <c r="I1635" s="13">
        <v>0</v>
      </c>
      <c r="J1635" s="13">
        <v>0</v>
      </c>
      <c r="K1635" s="14" t="str">
        <f>HYPERLINK("http://twitter.com/download/android","Twitter for Android")</f>
        <v>Twitter for Android</v>
      </c>
      <c r="L1635" s="13">
        <v>626</v>
      </c>
      <c r="M1635" s="13">
        <v>923</v>
      </c>
      <c r="N1635" s="13">
        <v>11</v>
      </c>
      <c r="O1635" s="15"/>
      <c r="P1635" s="6">
        <v>40120.46974537037</v>
      </c>
      <c r="Q1635" s="16" t="s">
        <v>5813</v>
      </c>
      <c r="R1635" s="17" t="s">
        <v>5814</v>
      </c>
      <c r="S1635" s="12"/>
      <c r="T1635" s="12"/>
      <c r="U1635" s="10" t="str">
        <f>HYPERLINK("https://pbs.twimg.com/profile_images/1041451513783181312/SY8ORldh.jpg","View")</f>
        <v>View</v>
      </c>
    </row>
    <row r="1636" spans="1:21" ht="51">
      <c r="A1636" s="6">
        <v>43441.040277777778</v>
      </c>
      <c r="B1636" s="7" t="str">
        <f>HYPERLINK("https://twitter.com/MariaDeJesusCG1","@MariaDeJesusCG1")</f>
        <v>@MariaDeJesusCG1</v>
      </c>
      <c r="C1636" s="8" t="s">
        <v>5713</v>
      </c>
      <c r="D1636" s="9" t="s">
        <v>5727</v>
      </c>
      <c r="E1636" s="10" t="str">
        <f>HYPERLINK("https://twitter.com/MariaDeJesusCG1/status/1070829742440505344","1070829742440505344")</f>
        <v>1070829742440505344</v>
      </c>
      <c r="F1636" s="12"/>
      <c r="G1636" s="12"/>
      <c r="H1636" s="12"/>
      <c r="I1636" s="13">
        <v>1</v>
      </c>
      <c r="J1636" s="13">
        <v>1</v>
      </c>
      <c r="K1636" s="14" t="str">
        <f>HYPERLINK("http://twitter.com","Twitter Web Client")</f>
        <v>Twitter Web Client</v>
      </c>
      <c r="L1636" s="13">
        <v>5202</v>
      </c>
      <c r="M1636" s="13">
        <v>4940</v>
      </c>
      <c r="N1636" s="13">
        <v>55</v>
      </c>
      <c r="O1636" s="15"/>
      <c r="P1636" s="6">
        <v>41354.774907407409</v>
      </c>
      <c r="Q1636" s="16" t="s">
        <v>207</v>
      </c>
      <c r="R1636" s="17" t="s">
        <v>5717</v>
      </c>
      <c r="S1636" s="12"/>
      <c r="T1636" s="12"/>
      <c r="U1636" s="10" t="str">
        <f>HYPERLINK("https://pbs.twimg.com/profile_images/960227596494671872/3hEg6zQY.jpg","View")</f>
        <v>View</v>
      </c>
    </row>
    <row r="1637" spans="1:21" ht="30.6">
      <c r="A1637" s="6">
        <v>43441.040081018524</v>
      </c>
      <c r="B1637" s="7" t="str">
        <f>HYPERLINK("https://twitter.com/pallaron12","@pallaron12")</f>
        <v>@pallaron12</v>
      </c>
      <c r="C1637" s="8" t="s">
        <v>1692</v>
      </c>
      <c r="D1637" s="9" t="s">
        <v>4213</v>
      </c>
      <c r="E1637" s="10" t="str">
        <f>HYPERLINK("https://twitter.com/pallaron12/status/1070829672211144704","1070829672211144704")</f>
        <v>1070829672211144704</v>
      </c>
      <c r="F1637" s="11" t="s">
        <v>467</v>
      </c>
      <c r="G1637" s="12"/>
      <c r="H1637" s="12"/>
      <c r="I1637" s="13">
        <v>0</v>
      </c>
      <c r="J1637" s="13">
        <v>0</v>
      </c>
      <c r="K1637" s="14" t="str">
        <f t="shared" ref="K1637:K1642" si="287">HYPERLINK("http://twitter.com/download/android","Twitter for Android")</f>
        <v>Twitter for Android</v>
      </c>
      <c r="L1637" s="13">
        <v>1481</v>
      </c>
      <c r="M1637" s="13">
        <v>551</v>
      </c>
      <c r="N1637" s="13">
        <v>8</v>
      </c>
      <c r="O1637" s="15"/>
      <c r="P1637" s="6">
        <v>41854.66134259259</v>
      </c>
      <c r="Q1637" s="16" t="s">
        <v>1693</v>
      </c>
      <c r="R1637" s="17" t="s">
        <v>1694</v>
      </c>
      <c r="S1637" s="12"/>
      <c r="T1637" s="12"/>
      <c r="U1637" s="10" t="str">
        <f>HYPERLINK("https://pbs.twimg.com/profile_images/1064713832633896961/NkwZ7D9D.jpg","View")</f>
        <v>View</v>
      </c>
    </row>
    <row r="1638" spans="1:21" ht="20.399999999999999">
      <c r="A1638" s="6">
        <v>43441.038124999999</v>
      </c>
      <c r="B1638" s="7" t="str">
        <f>HYPERLINK("https://twitter.com/svqcity","@svqcity")</f>
        <v>@svqcity</v>
      </c>
      <c r="C1638" s="8" t="s">
        <v>5815</v>
      </c>
      <c r="D1638" s="9" t="s">
        <v>5816</v>
      </c>
      <c r="E1638" s="10" t="str">
        <f>HYPERLINK("https://twitter.com/svqcity/status/1070828962673319937","1070828962673319937")</f>
        <v>1070828962673319937</v>
      </c>
      <c r="F1638" s="12"/>
      <c r="G1638" s="12"/>
      <c r="H1638" s="12"/>
      <c r="I1638" s="13">
        <v>0</v>
      </c>
      <c r="J1638" s="13">
        <v>0</v>
      </c>
      <c r="K1638" s="14" t="str">
        <f t="shared" si="287"/>
        <v>Twitter for Android</v>
      </c>
      <c r="L1638" s="13">
        <v>805</v>
      </c>
      <c r="M1638" s="13">
        <v>130</v>
      </c>
      <c r="N1638" s="13">
        <v>49</v>
      </c>
      <c r="O1638" s="15"/>
      <c r="P1638" s="6">
        <v>40488.707233796296</v>
      </c>
      <c r="Q1638" s="16" t="s">
        <v>367</v>
      </c>
      <c r="R1638" s="17" t="s">
        <v>5817</v>
      </c>
      <c r="S1638" s="11" t="s">
        <v>5818</v>
      </c>
      <c r="T1638" s="12"/>
      <c r="U1638" s="10" t="str">
        <f>HYPERLINK("https://pbs.twimg.com/profile_images/894243425654124544/KM9voRHe.jpg","View")</f>
        <v>View</v>
      </c>
    </row>
    <row r="1639" spans="1:21" ht="30.6">
      <c r="A1639" s="6">
        <v>43441.038078703699</v>
      </c>
      <c r="B1639" s="7" t="str">
        <f>HYPERLINK("https://twitter.com/GiambattistaAr2","@GiambattistaAr2")</f>
        <v>@GiambattistaAr2</v>
      </c>
      <c r="C1639" s="8" t="s">
        <v>5819</v>
      </c>
      <c r="D1639" s="9" t="s">
        <v>1324</v>
      </c>
      <c r="E1639" s="10" t="str">
        <f>HYPERLINK("https://twitter.com/GiambattistaAr2/status/1070828947120771072","1070828947120771072")</f>
        <v>1070828947120771072</v>
      </c>
      <c r="F1639" s="11" t="s">
        <v>467</v>
      </c>
      <c r="G1639" s="12"/>
      <c r="H1639" s="12"/>
      <c r="I1639" s="13">
        <v>0</v>
      </c>
      <c r="J1639" s="13">
        <v>0</v>
      </c>
      <c r="K1639" s="14" t="str">
        <f t="shared" si="287"/>
        <v>Twitter for Android</v>
      </c>
      <c r="L1639" s="13">
        <v>117</v>
      </c>
      <c r="M1639" s="13">
        <v>276</v>
      </c>
      <c r="N1639" s="13">
        <v>3</v>
      </c>
      <c r="O1639" s="15"/>
      <c r="P1639" s="6">
        <v>42920.696261574078</v>
      </c>
      <c r="Q1639" s="16" t="s">
        <v>133</v>
      </c>
      <c r="R1639" s="17" t="s">
        <v>5820</v>
      </c>
      <c r="S1639" s="12"/>
      <c r="T1639" s="12"/>
      <c r="U1639" s="10" t="str">
        <f>HYPERLINK("https://pbs.twimg.com/profile_images/971839849811644417/z3rUHZhu.jpg","View")</f>
        <v>View</v>
      </c>
    </row>
    <row r="1640" spans="1:21" ht="20.399999999999999">
      <c r="A1640" s="6">
        <v>43441.036805555559</v>
      </c>
      <c r="B1640" s="7" t="str">
        <f>HYPERLINK("https://twitter.com/joseantoniogo43","@joseantoniogo43")</f>
        <v>@joseantoniogo43</v>
      </c>
      <c r="C1640" s="8" t="s">
        <v>5821</v>
      </c>
      <c r="D1640" s="9" t="s">
        <v>4198</v>
      </c>
      <c r="E1640" s="10" t="str">
        <f>HYPERLINK("https://twitter.com/joseantoniogo43/status/1070828486875467776","1070828486875467776")</f>
        <v>1070828486875467776</v>
      </c>
      <c r="F1640" s="11" t="s">
        <v>1185</v>
      </c>
      <c r="G1640" s="12"/>
      <c r="H1640" s="12"/>
      <c r="I1640" s="13">
        <v>0</v>
      </c>
      <c r="J1640" s="13">
        <v>0</v>
      </c>
      <c r="K1640" s="14" t="str">
        <f t="shared" si="287"/>
        <v>Twitter for Android</v>
      </c>
      <c r="L1640" s="13">
        <v>4100</v>
      </c>
      <c r="M1640" s="13">
        <v>4250</v>
      </c>
      <c r="N1640" s="13">
        <v>39</v>
      </c>
      <c r="O1640" s="15"/>
      <c r="P1640" s="6">
        <v>40845.495509259257</v>
      </c>
      <c r="Q1640" s="12"/>
      <c r="R1640" s="19"/>
      <c r="S1640" s="12"/>
      <c r="T1640" s="12"/>
      <c r="U1640" s="10" t="str">
        <f>HYPERLINK("https://pbs.twimg.com/profile_images/3576388686/a66d7c55b1a8af804079aea3e66d3f4f.jpeg","View")</f>
        <v>View</v>
      </c>
    </row>
    <row r="1641" spans="1:21" ht="30.6">
      <c r="A1641" s="6">
        <v>43441.036527777775</v>
      </c>
      <c r="B1641" s="7" t="str">
        <f>HYPERLINK("https://twitter.com/EstrellaMonge1","@EstrellaMonge1")</f>
        <v>@EstrellaMonge1</v>
      </c>
      <c r="C1641" s="8" t="s">
        <v>1381</v>
      </c>
      <c r="D1641" s="9" t="s">
        <v>5822</v>
      </c>
      <c r="E1641" s="10" t="str">
        <f>HYPERLINK("https://twitter.com/EstrellaMonge1/status/1070828385050464256","1070828385050464256")</f>
        <v>1070828385050464256</v>
      </c>
      <c r="F1641" s="11" t="s">
        <v>5823</v>
      </c>
      <c r="G1641" s="12"/>
      <c r="H1641" s="12"/>
      <c r="I1641" s="13">
        <v>0</v>
      </c>
      <c r="J1641" s="13">
        <v>0</v>
      </c>
      <c r="K1641" s="14" t="str">
        <f t="shared" si="287"/>
        <v>Twitter for Android</v>
      </c>
      <c r="L1641" s="13">
        <v>1904</v>
      </c>
      <c r="M1641" s="13">
        <v>4998</v>
      </c>
      <c r="N1641" s="13">
        <v>111</v>
      </c>
      <c r="O1641" s="15"/>
      <c r="P1641" s="6">
        <v>40911.708993055552</v>
      </c>
      <c r="Q1641" s="16" t="s">
        <v>60</v>
      </c>
      <c r="R1641" s="17" t="s">
        <v>1384</v>
      </c>
      <c r="S1641" s="12"/>
      <c r="T1641" s="12"/>
      <c r="U1641" s="10" t="str">
        <f>HYPERLINK("https://pbs.twimg.com/profile_images/1062093513159049216/mAkXXRvX.jpg","View")</f>
        <v>View</v>
      </c>
    </row>
    <row r="1642" spans="1:21" ht="30.6">
      <c r="A1642" s="6">
        <v>43441.033518518518</v>
      </c>
      <c r="B1642" s="7" t="str">
        <f>HYPERLINK("https://twitter.com/LosCuatroTwitte","@LosCuatroTwitte")</f>
        <v>@LosCuatroTwitte</v>
      </c>
      <c r="C1642" s="8" t="s">
        <v>5824</v>
      </c>
      <c r="D1642" s="9" t="s">
        <v>5825</v>
      </c>
      <c r="E1642" s="10" t="str">
        <f>HYPERLINK("https://twitter.com/LosCuatroTwitte/status/1070827295680708610","1070827295680708610")</f>
        <v>1070827295680708610</v>
      </c>
      <c r="F1642" s="11" t="s">
        <v>5826</v>
      </c>
      <c r="G1642" s="12"/>
      <c r="H1642" s="12"/>
      <c r="I1642" s="13">
        <v>0</v>
      </c>
      <c r="J1642" s="13">
        <v>0</v>
      </c>
      <c r="K1642" s="14" t="str">
        <f t="shared" si="287"/>
        <v>Twitter for Android</v>
      </c>
      <c r="L1642" s="13">
        <v>59</v>
      </c>
      <c r="M1642" s="13">
        <v>201</v>
      </c>
      <c r="N1642" s="13">
        <v>1</v>
      </c>
      <c r="O1642" s="15"/>
      <c r="P1642" s="6">
        <v>42766.95039351852</v>
      </c>
      <c r="Q1642" s="16" t="s">
        <v>1003</v>
      </c>
      <c r="R1642" s="17" t="s">
        <v>5827</v>
      </c>
      <c r="S1642" s="12"/>
      <c r="T1642" s="12"/>
      <c r="U1642" s="10" t="str">
        <f>HYPERLINK("https://pbs.twimg.com/profile_images/833289511165624321/Yxiay8M6.jpg","View")</f>
        <v>View</v>
      </c>
    </row>
    <row r="1643" spans="1:21" ht="20.399999999999999">
      <c r="A1643" s="6">
        <v>43441.032430555555</v>
      </c>
      <c r="B1643" s="7" t="str">
        <f>HYPERLINK("https://twitter.com/Thaisgus","@Thaisgus")</f>
        <v>@Thaisgus</v>
      </c>
      <c r="C1643" s="8" t="s">
        <v>5828</v>
      </c>
      <c r="D1643" s="9" t="s">
        <v>3989</v>
      </c>
      <c r="E1643" s="10" t="str">
        <f>HYPERLINK("https://twitter.com/Thaisgus/status/1070826900669562880","1070826900669562880")</f>
        <v>1070826900669562880</v>
      </c>
      <c r="F1643" s="11" t="s">
        <v>2462</v>
      </c>
      <c r="G1643" s="12"/>
      <c r="H1643" s="12"/>
      <c r="I1643" s="13">
        <v>0</v>
      </c>
      <c r="J1643" s="13">
        <v>0</v>
      </c>
      <c r="K1643" s="14" t="str">
        <f t="shared" ref="K1643:K1645" si="288">HYPERLINK("http://twitter.com","Twitter Web Client")</f>
        <v>Twitter Web Client</v>
      </c>
      <c r="L1643" s="13">
        <v>5678</v>
      </c>
      <c r="M1643" s="13">
        <v>5585</v>
      </c>
      <c r="N1643" s="13">
        <v>24</v>
      </c>
      <c r="O1643" s="15"/>
      <c r="P1643" s="6">
        <v>40679.043703703705</v>
      </c>
      <c r="Q1643" s="12"/>
      <c r="R1643" s="17" t="s">
        <v>5829</v>
      </c>
      <c r="S1643" s="12"/>
      <c r="T1643" s="12"/>
      <c r="U1643" s="10" t="str">
        <f>HYPERLINK("https://pbs.twimg.com/profile_images/1385282249/orquidea.jpg","View")</f>
        <v>View</v>
      </c>
    </row>
    <row r="1644" spans="1:21" ht="30.6">
      <c r="A1644" s="6">
        <v>43441.032314814816</v>
      </c>
      <c r="B1644" s="7" t="str">
        <f>HYPERLINK("https://twitter.com/Vinilo7","@Vinilo7")</f>
        <v>@Vinilo7</v>
      </c>
      <c r="C1644" s="8" t="s">
        <v>5830</v>
      </c>
      <c r="D1644" s="9" t="s">
        <v>1514</v>
      </c>
      <c r="E1644" s="10" t="str">
        <f>HYPERLINK("https://twitter.com/Vinilo7/status/1070826859632439296","1070826859632439296")</f>
        <v>1070826859632439296</v>
      </c>
      <c r="F1644" s="11" t="s">
        <v>246</v>
      </c>
      <c r="G1644" s="12"/>
      <c r="H1644" s="12"/>
      <c r="I1644" s="13">
        <v>0</v>
      </c>
      <c r="J1644" s="13">
        <v>0</v>
      </c>
      <c r="K1644" s="14" t="str">
        <f t="shared" si="288"/>
        <v>Twitter Web Client</v>
      </c>
      <c r="L1644" s="13">
        <v>1093</v>
      </c>
      <c r="M1644" s="13">
        <v>1416</v>
      </c>
      <c r="N1644" s="13">
        <v>36</v>
      </c>
      <c r="O1644" s="15"/>
      <c r="P1644" s="6">
        <v>40643.022013888891</v>
      </c>
      <c r="Q1644" s="16" t="s">
        <v>5831</v>
      </c>
      <c r="R1644" s="19"/>
      <c r="S1644" s="12"/>
      <c r="T1644" s="12"/>
      <c r="U1644" s="10" t="str">
        <f>HYPERLINK("https://pbs.twimg.com/profile_images/827543676868030470/v55vilbm.jpg","View")</f>
        <v>View</v>
      </c>
    </row>
    <row r="1645" spans="1:21" ht="51">
      <c r="A1645" s="6">
        <v>43441.03188657407</v>
      </c>
      <c r="B1645" s="7" t="str">
        <f>HYPERLINK("https://twitter.com/JoseLuisDiezIba","@JoseLuisDiezIba")</f>
        <v>@JoseLuisDiezIba</v>
      </c>
      <c r="C1645" s="8" t="s">
        <v>5832</v>
      </c>
      <c r="D1645" s="9" t="s">
        <v>5833</v>
      </c>
      <c r="E1645" s="10" t="str">
        <f>HYPERLINK("https://twitter.com/JoseLuisDiezIba/status/1070826700676710400","1070826700676710400")</f>
        <v>1070826700676710400</v>
      </c>
      <c r="F1645" s="12"/>
      <c r="G1645" s="12"/>
      <c r="H1645" s="12"/>
      <c r="I1645" s="13">
        <v>14</v>
      </c>
      <c r="J1645" s="13">
        <v>6</v>
      </c>
      <c r="K1645" s="14" t="str">
        <f t="shared" si="288"/>
        <v>Twitter Web Client</v>
      </c>
      <c r="L1645" s="13">
        <v>961</v>
      </c>
      <c r="M1645" s="13">
        <v>2687</v>
      </c>
      <c r="N1645" s="13">
        <v>5</v>
      </c>
      <c r="O1645" s="15"/>
      <c r="P1645" s="6">
        <v>40909.855682870373</v>
      </c>
      <c r="Q1645" s="16" t="s">
        <v>200</v>
      </c>
      <c r="R1645" s="17" t="s">
        <v>5834</v>
      </c>
      <c r="S1645" s="12"/>
      <c r="T1645" s="12"/>
      <c r="U1645" s="10" t="str">
        <f>HYPERLINK("https://pbs.twimg.com/profile_images/3011292150/6149c4b184a5d3d2e129acb759d05912.jpeg","View")</f>
        <v>View</v>
      </c>
    </row>
    <row r="1646" spans="1:21" ht="40.799999999999997">
      <c r="A1646" s="6">
        <v>43441.031180555554</v>
      </c>
      <c r="B1646" s="7" t="str">
        <f>HYPERLINK("https://twitter.com/emilio_valero","@emilio_valero")</f>
        <v>@emilio_valero</v>
      </c>
      <c r="C1646" s="8" t="s">
        <v>1323</v>
      </c>
      <c r="D1646" s="9" t="s">
        <v>1324</v>
      </c>
      <c r="E1646" s="10" t="str">
        <f>HYPERLINK("https://twitter.com/emilio_valero/status/1070826445738573829","1070826445738573829")</f>
        <v>1070826445738573829</v>
      </c>
      <c r="F1646" s="11" t="s">
        <v>467</v>
      </c>
      <c r="G1646" s="12"/>
      <c r="H1646" s="12"/>
      <c r="I1646" s="13">
        <v>0</v>
      </c>
      <c r="J1646" s="13">
        <v>0</v>
      </c>
      <c r="K1646" s="14" t="str">
        <f t="shared" ref="K1646:K1647" si="289">HYPERLINK("http://twitter.com/download/android","Twitter for Android")</f>
        <v>Twitter for Android</v>
      </c>
      <c r="L1646" s="13">
        <v>2468</v>
      </c>
      <c r="M1646" s="13">
        <v>2965</v>
      </c>
      <c r="N1646" s="13">
        <v>18</v>
      </c>
      <c r="O1646" s="15"/>
      <c r="P1646" s="6">
        <v>40795.850231481483</v>
      </c>
      <c r="Q1646" s="16" t="s">
        <v>1325</v>
      </c>
      <c r="R1646" s="17" t="s">
        <v>1326</v>
      </c>
      <c r="S1646" s="12"/>
      <c r="T1646" s="12"/>
      <c r="U1646" s="10" t="str">
        <f>HYPERLINK("https://pbs.twimg.com/profile_images/814833551002791936/Yh_X_Im3.jpg","View")</f>
        <v>View</v>
      </c>
    </row>
    <row r="1647" spans="1:21" ht="20.399999999999999">
      <c r="A1647" s="6">
        <v>43441.030138888891</v>
      </c>
      <c r="B1647" s="7" t="str">
        <f>HYPERLINK("https://twitter.com/serra_gara","@serra_gara")</f>
        <v>@serra_gara</v>
      </c>
      <c r="C1647" s="8" t="s">
        <v>5835</v>
      </c>
      <c r="D1647" s="9" t="s">
        <v>4198</v>
      </c>
      <c r="E1647" s="10" t="str">
        <f>HYPERLINK("https://twitter.com/serra_gara/status/1070826068196687873","1070826068196687873")</f>
        <v>1070826068196687873</v>
      </c>
      <c r="F1647" s="11" t="s">
        <v>1185</v>
      </c>
      <c r="G1647" s="12"/>
      <c r="H1647" s="12"/>
      <c r="I1647" s="13">
        <v>0</v>
      </c>
      <c r="J1647" s="13">
        <v>0</v>
      </c>
      <c r="K1647" s="14" t="str">
        <f t="shared" si="289"/>
        <v>Twitter for Android</v>
      </c>
      <c r="L1647" s="13">
        <v>238</v>
      </c>
      <c r="M1647" s="13">
        <v>756</v>
      </c>
      <c r="N1647" s="13">
        <v>6</v>
      </c>
      <c r="O1647" s="15"/>
      <c r="P1647" s="6">
        <v>42261.428344907406</v>
      </c>
      <c r="Q1647" s="12"/>
      <c r="R1647" s="19"/>
      <c r="S1647" s="12"/>
      <c r="T1647" s="12"/>
      <c r="U1647" s="10" t="str">
        <f>HYPERLINK("https://pbs.twimg.com/profile_images/1041290113949597696/jDC3EqhP.jpg","View")</f>
        <v>View</v>
      </c>
    </row>
    <row r="1648" spans="1:21" ht="30.6">
      <c r="A1648" s="6">
        <v>43441.029710648145</v>
      </c>
      <c r="B1648" s="7" t="str">
        <f>HYPERLINK("https://twitter.com/okdiario","@okdiario")</f>
        <v>@okdiario</v>
      </c>
      <c r="C1648" s="8" t="s">
        <v>1581</v>
      </c>
      <c r="D1648" s="9" t="s">
        <v>5836</v>
      </c>
      <c r="E1648" s="10" t="str">
        <f>HYPERLINK("https://twitter.com/okdiario/status/1070825911782699008","1070825911782699008")</f>
        <v>1070825911782699008</v>
      </c>
      <c r="F1648" s="11" t="s">
        <v>5837</v>
      </c>
      <c r="G1648" s="12"/>
      <c r="H1648" s="12"/>
      <c r="I1648" s="13">
        <v>68</v>
      </c>
      <c r="J1648" s="13">
        <v>177</v>
      </c>
      <c r="K1648" s="14" t="str">
        <f>HYPERLINK("https://www.echobox.com","Echobox Social")</f>
        <v>Echobox Social</v>
      </c>
      <c r="L1648" s="13">
        <v>112413</v>
      </c>
      <c r="M1648" s="13">
        <v>343</v>
      </c>
      <c r="N1648" s="13">
        <v>1440</v>
      </c>
      <c r="O1648" s="18" t="s">
        <v>41</v>
      </c>
      <c r="P1648" s="6">
        <v>42241.708229166667</v>
      </c>
      <c r="Q1648" s="12"/>
      <c r="R1648" s="17" t="s">
        <v>1584</v>
      </c>
      <c r="S1648" s="11" t="s">
        <v>1585</v>
      </c>
      <c r="T1648" s="12"/>
      <c r="U1648" s="10" t="str">
        <f>HYPERLINK("https://pbs.twimg.com/profile_images/789113773697208320/3LvFvi8Q.jpg","View")</f>
        <v>View</v>
      </c>
    </row>
    <row r="1649" spans="1:21" ht="51">
      <c r="A1649" s="6">
        <v>43441.026898148149</v>
      </c>
      <c r="B1649" s="7" t="str">
        <f>HYPERLINK("https://twitter.com/MariaDeJesusCG1","@MariaDeJesusCG1")</f>
        <v>@MariaDeJesusCG1</v>
      </c>
      <c r="C1649" s="8" t="s">
        <v>5713</v>
      </c>
      <c r="D1649" s="9" t="s">
        <v>5838</v>
      </c>
      <c r="E1649" s="10" t="str">
        <f>HYPERLINK("https://twitter.com/MariaDeJesusCG1/status/1070824894278107137","1070824894278107137")</f>
        <v>1070824894278107137</v>
      </c>
      <c r="F1649" s="12"/>
      <c r="G1649" s="12"/>
      <c r="H1649" s="12"/>
      <c r="I1649" s="13">
        <v>0</v>
      </c>
      <c r="J1649" s="13">
        <v>0</v>
      </c>
      <c r="K1649" s="14" t="str">
        <f>HYPERLINK("http://twitter.com","Twitter Web Client")</f>
        <v>Twitter Web Client</v>
      </c>
      <c r="L1649" s="13">
        <v>5202</v>
      </c>
      <c r="M1649" s="13">
        <v>4940</v>
      </c>
      <c r="N1649" s="13">
        <v>55</v>
      </c>
      <c r="O1649" s="15"/>
      <c r="P1649" s="6">
        <v>41354.774907407409</v>
      </c>
      <c r="Q1649" s="16" t="s">
        <v>207</v>
      </c>
      <c r="R1649" s="17" t="s">
        <v>5717</v>
      </c>
      <c r="S1649" s="12"/>
      <c r="T1649" s="12"/>
      <c r="U1649" s="10" t="str">
        <f>HYPERLINK("https://pbs.twimg.com/profile_images/960227596494671872/3hEg6zQY.jpg","View")</f>
        <v>View</v>
      </c>
    </row>
    <row r="1650" spans="1:21" ht="81.599999999999994">
      <c r="A1650" s="6">
        <v>43441.025648148148</v>
      </c>
      <c r="B1650" s="7" t="str">
        <f>HYPERLINK("https://twitter.com/FroilLannister","@FroilLannister")</f>
        <v>@FroilLannister</v>
      </c>
      <c r="C1650" s="8" t="s">
        <v>5839</v>
      </c>
      <c r="D1650" s="9" t="s">
        <v>5840</v>
      </c>
      <c r="E1650" s="10" t="str">
        <f>HYPERLINK("https://twitter.com/FroilLannister/status/1070824441448423424","1070824441448423424")</f>
        <v>1070824441448423424</v>
      </c>
      <c r="F1650" s="11" t="s">
        <v>54</v>
      </c>
      <c r="G1650" s="11" t="s">
        <v>55</v>
      </c>
      <c r="H1650" s="12"/>
      <c r="I1650" s="13">
        <v>702</v>
      </c>
      <c r="J1650" s="13">
        <v>1280</v>
      </c>
      <c r="K1650" s="14" t="str">
        <f>HYPERLINK("http://twitter.com/download/iphone","Twitter for iPhone")</f>
        <v>Twitter for iPhone</v>
      </c>
      <c r="L1650" s="13">
        <v>35549</v>
      </c>
      <c r="M1650" s="13">
        <v>368</v>
      </c>
      <c r="N1650" s="13">
        <v>257</v>
      </c>
      <c r="O1650" s="15"/>
      <c r="P1650" s="6">
        <v>40022.456111111111</v>
      </c>
      <c r="Q1650" s="16" t="s">
        <v>60</v>
      </c>
      <c r="R1650" s="17" t="s">
        <v>5841</v>
      </c>
      <c r="S1650" s="11" t="s">
        <v>5842</v>
      </c>
      <c r="T1650" s="12"/>
      <c r="U1650" s="10" t="str">
        <f>HYPERLINK("https://pbs.twimg.com/profile_images/956967811280236544/O95sSr-k.jpg","View")</f>
        <v>View</v>
      </c>
    </row>
    <row r="1651" spans="1:21" ht="20.399999999999999">
      <c r="A1651" s="6">
        <v>43441.023564814815</v>
      </c>
      <c r="B1651" s="7" t="str">
        <f>HYPERLINK("https://twitter.com/Lillianablanco","@Lillianablanco")</f>
        <v>@Lillianablanco</v>
      </c>
      <c r="C1651" s="8" t="s">
        <v>5843</v>
      </c>
      <c r="D1651" s="9" t="s">
        <v>5844</v>
      </c>
      <c r="E1651" s="10" t="str">
        <f>HYPERLINK("https://twitter.com/Lillianablanco/status/1070823687417282560","1070823687417282560")</f>
        <v>1070823687417282560</v>
      </c>
      <c r="F1651" s="11" t="s">
        <v>5845</v>
      </c>
      <c r="G1651" s="11" t="s">
        <v>5846</v>
      </c>
      <c r="H1651" s="12"/>
      <c r="I1651" s="13">
        <v>0</v>
      </c>
      <c r="J1651" s="13">
        <v>0</v>
      </c>
      <c r="K1651" s="14" t="str">
        <f>HYPERLINK("https://dlvrit.com/","dlvr.it")</f>
        <v>dlvr.it</v>
      </c>
      <c r="L1651" s="13">
        <v>657</v>
      </c>
      <c r="M1651" s="13">
        <v>776</v>
      </c>
      <c r="N1651" s="13">
        <v>4</v>
      </c>
      <c r="O1651" s="15"/>
      <c r="P1651" s="6">
        <v>41300.124479166669</v>
      </c>
      <c r="Q1651" s="16" t="s">
        <v>3662</v>
      </c>
      <c r="R1651" s="17" t="s">
        <v>5847</v>
      </c>
      <c r="S1651" s="12"/>
      <c r="T1651" s="12"/>
      <c r="U1651" s="10" t="str">
        <f>HYPERLINK("https://pbs.twimg.com/profile_images/647193596861415425/9TLbPd0n.jpg","View")</f>
        <v>View</v>
      </c>
    </row>
    <row r="1652" spans="1:21" ht="30.6">
      <c r="A1652" s="6">
        <v>43441.023541666669</v>
      </c>
      <c r="B1652" s="7" t="str">
        <f>HYPERLINK("https://twitter.com/frankkyvela","@frankkyvela")</f>
        <v>@frankkyvela</v>
      </c>
      <c r="C1652" s="8" t="s">
        <v>5848</v>
      </c>
      <c r="D1652" s="9" t="s">
        <v>5849</v>
      </c>
      <c r="E1652" s="10" t="str">
        <f>HYPERLINK("https://twitter.com/frankkyvela/status/1070823676545810433","1070823676545810433")</f>
        <v>1070823676545810433</v>
      </c>
      <c r="F1652" s="12"/>
      <c r="G1652" s="12"/>
      <c r="H1652" s="12"/>
      <c r="I1652" s="13">
        <v>0</v>
      </c>
      <c r="J1652" s="13">
        <v>0</v>
      </c>
      <c r="K1652" s="14" t="str">
        <f>HYPERLINK("http://twitter.com/download/android","Twitter for Android")</f>
        <v>Twitter for Android</v>
      </c>
      <c r="L1652" s="13">
        <v>210</v>
      </c>
      <c r="M1652" s="13">
        <v>720</v>
      </c>
      <c r="N1652" s="13">
        <v>2</v>
      </c>
      <c r="O1652" s="15"/>
      <c r="P1652" s="6">
        <v>40768.615868055553</v>
      </c>
      <c r="Q1652" s="16" t="s">
        <v>3329</v>
      </c>
      <c r="R1652" s="17" t="s">
        <v>5850</v>
      </c>
      <c r="S1652" s="12"/>
      <c r="T1652" s="12"/>
      <c r="U1652" s="10" t="str">
        <f>HYPERLINK("https://pbs.twimg.com/profile_images/1063924816930111488/l6PRWQG4.jpg","View")</f>
        <v>View</v>
      </c>
    </row>
    <row r="1653" spans="1:21" ht="40.799999999999997">
      <c r="A1653" s="6">
        <v>43441.023495370369</v>
      </c>
      <c r="B1653" s="7" t="str">
        <f>HYPERLINK("https://twitter.com/salvadorpastorb","@salvadorpastorb")</f>
        <v>@salvadorpastorb</v>
      </c>
      <c r="C1653" s="8" t="s">
        <v>5851</v>
      </c>
      <c r="D1653" s="9" t="s">
        <v>1903</v>
      </c>
      <c r="E1653" s="10" t="str">
        <f>HYPERLINK("https://twitter.com/salvadorpastorb/status/1070823663295971329","1070823663295971329")</f>
        <v>1070823663295971329</v>
      </c>
      <c r="F1653" s="11" t="s">
        <v>3561</v>
      </c>
      <c r="G1653" s="12"/>
      <c r="H1653" s="12"/>
      <c r="I1653" s="13">
        <v>0</v>
      </c>
      <c r="J1653" s="13">
        <v>0</v>
      </c>
      <c r="K1653" s="14" t="str">
        <f t="shared" ref="K1653:K1654" si="290">HYPERLINK("http://twitter.com","Twitter Web Client")</f>
        <v>Twitter Web Client</v>
      </c>
      <c r="L1653" s="13">
        <v>1845</v>
      </c>
      <c r="M1653" s="13">
        <v>4998</v>
      </c>
      <c r="N1653" s="13">
        <v>49</v>
      </c>
      <c r="O1653" s="15"/>
      <c r="P1653" s="6">
        <v>40972.034629629634</v>
      </c>
      <c r="Q1653" s="16" t="s">
        <v>60</v>
      </c>
      <c r="R1653" s="17" t="s">
        <v>5852</v>
      </c>
      <c r="S1653" s="11" t="s">
        <v>5853</v>
      </c>
      <c r="T1653" s="12"/>
      <c r="U1653" s="10" t="str">
        <f>HYPERLINK("https://pbs.twimg.com/profile_images/1872162133/Imagen__4_.jpg","View")</f>
        <v>View</v>
      </c>
    </row>
    <row r="1654" spans="1:21" ht="51">
      <c r="A1654" s="6">
        <v>43441.021527777775</v>
      </c>
      <c r="B1654" s="7" t="str">
        <f>HYPERLINK("https://twitter.com/Dr_Hackenbush","@Dr_Hackenbush")</f>
        <v>@Dr_Hackenbush</v>
      </c>
      <c r="C1654" s="8" t="s">
        <v>4518</v>
      </c>
      <c r="D1654" s="9" t="s">
        <v>5854</v>
      </c>
      <c r="E1654" s="10" t="str">
        <f>HYPERLINK("https://twitter.com/Dr_Hackenbush/status/1070822950511788032","1070822950511788032")</f>
        <v>1070822950511788032</v>
      </c>
      <c r="F1654" s="12"/>
      <c r="G1654" s="11" t="s">
        <v>5855</v>
      </c>
      <c r="H1654" s="12"/>
      <c r="I1654" s="13">
        <v>12</v>
      </c>
      <c r="J1654" s="13">
        <v>16</v>
      </c>
      <c r="K1654" s="14" t="str">
        <f t="shared" si="290"/>
        <v>Twitter Web Client</v>
      </c>
      <c r="L1654" s="13">
        <v>3660</v>
      </c>
      <c r="M1654" s="13">
        <v>3584</v>
      </c>
      <c r="N1654" s="13">
        <v>8</v>
      </c>
      <c r="O1654" s="15"/>
      <c r="P1654" s="6">
        <v>41072.94699074074</v>
      </c>
      <c r="Q1654" s="16" t="s">
        <v>228</v>
      </c>
      <c r="R1654" s="17" t="s">
        <v>4519</v>
      </c>
      <c r="S1654" s="12"/>
      <c r="T1654" s="12"/>
      <c r="U1654" s="10" t="str">
        <f>HYPERLINK("https://pbs.twimg.com/profile_images/719997032224698369/YQ8RoWnh.jpg","View")</f>
        <v>View</v>
      </c>
    </row>
    <row r="1655" spans="1:21" ht="30.6">
      <c r="A1655" s="6">
        <v>43441.020833333328</v>
      </c>
      <c r="B1655" s="7" t="str">
        <f>HYPERLINK("https://twitter.com/laSextaTV","@laSextaTV")</f>
        <v>@laSextaTV</v>
      </c>
      <c r="C1655" s="8" t="s">
        <v>3737</v>
      </c>
      <c r="D1655" s="9" t="s">
        <v>5856</v>
      </c>
      <c r="E1655" s="10" t="str">
        <f>HYPERLINK("https://twitter.com/laSextaTV/status/1070822695544213504","1070822695544213504")</f>
        <v>1070822695544213504</v>
      </c>
      <c r="F1655" s="11" t="s">
        <v>5857</v>
      </c>
      <c r="G1655" s="12"/>
      <c r="H1655" s="12"/>
      <c r="I1655" s="13">
        <v>4</v>
      </c>
      <c r="J1655" s="13">
        <v>13</v>
      </c>
      <c r="K1655" s="14" t="str">
        <f>HYPERLINK("http://dogtrack.es","DogTrack_Oficial")</f>
        <v>DogTrack_Oficial</v>
      </c>
      <c r="L1655" s="13">
        <v>915225</v>
      </c>
      <c r="M1655" s="13">
        <v>307</v>
      </c>
      <c r="N1655" s="13">
        <v>5854</v>
      </c>
      <c r="O1655" s="18" t="s">
        <v>41</v>
      </c>
      <c r="P1655" s="6">
        <v>39877.804710648146</v>
      </c>
      <c r="Q1655" s="16" t="s">
        <v>119</v>
      </c>
      <c r="R1655" s="17" t="s">
        <v>3740</v>
      </c>
      <c r="S1655" s="11" t="s">
        <v>3741</v>
      </c>
      <c r="T1655" s="12"/>
      <c r="U1655" s="10" t="str">
        <f>HYPERLINK("https://pbs.twimg.com/profile_images/898966361426231296/0sS0RzFh.jpg","View")</f>
        <v>View</v>
      </c>
    </row>
    <row r="1656" spans="1:21" ht="40.799999999999997">
      <c r="A1656" s="6">
        <v>43441.01972222222</v>
      </c>
      <c r="B1656" s="7" t="str">
        <f>HYPERLINK("https://twitter.com/ABRIGO_SJ","@ABRIGO_SJ")</f>
        <v>@ABRIGO_SJ</v>
      </c>
      <c r="C1656" s="8" t="s">
        <v>5858</v>
      </c>
      <c r="D1656" s="9" t="s">
        <v>4198</v>
      </c>
      <c r="E1656" s="10" t="str">
        <f>HYPERLINK("https://twitter.com/ABRIGO_SJ/status/1070822294967205890","1070822294967205890")</f>
        <v>1070822294967205890</v>
      </c>
      <c r="F1656" s="11" t="s">
        <v>3534</v>
      </c>
      <c r="G1656" s="12"/>
      <c r="H1656" s="12"/>
      <c r="I1656" s="13">
        <v>0</v>
      </c>
      <c r="J1656" s="13">
        <v>0</v>
      </c>
      <c r="K1656" s="14" t="str">
        <f>HYPERLINK("http://twitter.com","Twitter Web Client")</f>
        <v>Twitter Web Client</v>
      </c>
      <c r="L1656" s="13">
        <v>42</v>
      </c>
      <c r="M1656" s="13">
        <v>215</v>
      </c>
      <c r="N1656" s="13">
        <v>0</v>
      </c>
      <c r="O1656" s="15"/>
      <c r="P1656" s="6">
        <v>40734.874745370369</v>
      </c>
      <c r="Q1656" s="16" t="s">
        <v>1984</v>
      </c>
      <c r="R1656" s="17" t="s">
        <v>5859</v>
      </c>
      <c r="S1656" s="11" t="s">
        <v>5860</v>
      </c>
      <c r="T1656" s="12"/>
      <c r="U1656" s="10" t="str">
        <f>HYPERLINK("https://pbs.twimg.com/profile_images/1455040796/abrigo_twitter.jpg","View")</f>
        <v>View</v>
      </c>
    </row>
    <row r="1657" spans="1:21" ht="30.6">
      <c r="A1657" s="6">
        <v>43441.017974537041</v>
      </c>
      <c r="B1657" s="7" t="str">
        <f>HYPERLINK("https://twitter.com/presuntomonseni","@presuntomonseni")</f>
        <v>@presuntomonseni</v>
      </c>
      <c r="C1657" s="8" t="s">
        <v>5861</v>
      </c>
      <c r="D1657" s="9" t="s">
        <v>5862</v>
      </c>
      <c r="E1657" s="10" t="str">
        <f>HYPERLINK("https://twitter.com/presuntomonseni/status/1070821660771667969","1070821660771667969")</f>
        <v>1070821660771667969</v>
      </c>
      <c r="F1657" s="12"/>
      <c r="G1657" s="12"/>
      <c r="H1657" s="12"/>
      <c r="I1657" s="13">
        <v>0</v>
      </c>
      <c r="J1657" s="13">
        <v>0</v>
      </c>
      <c r="K1657" s="14" t="str">
        <f>HYPERLINK("https://mobile.twitter.com","Twitter Lite")</f>
        <v>Twitter Lite</v>
      </c>
      <c r="L1657" s="13">
        <v>253</v>
      </c>
      <c r="M1657" s="13">
        <v>240</v>
      </c>
      <c r="N1657" s="13">
        <v>9</v>
      </c>
      <c r="O1657" s="15"/>
      <c r="P1657" s="6">
        <v>40665.573576388888</v>
      </c>
      <c r="Q1657" s="12"/>
      <c r="R1657" s="17" t="s">
        <v>5863</v>
      </c>
      <c r="S1657" s="12"/>
      <c r="T1657" s="12"/>
      <c r="U1657" s="10" t="str">
        <f>HYPERLINK("https://pbs.twimg.com/profile_images/378800000544092965/549912cc359bb0add81f3fa9bdd32ae8.jpeg","View")</f>
        <v>View</v>
      </c>
    </row>
    <row r="1658" spans="1:21" ht="40.799999999999997">
      <c r="A1658" s="6">
        <v>43441.017395833333</v>
      </c>
      <c r="B1658" s="7" t="str">
        <f>HYPERLINK("https://twitter.com/nievesfouz","@nievesfouz")</f>
        <v>@nievesfouz</v>
      </c>
      <c r="C1658" s="8" t="s">
        <v>5772</v>
      </c>
      <c r="D1658" s="9" t="s">
        <v>5864</v>
      </c>
      <c r="E1658" s="10" t="str">
        <f>HYPERLINK("https://twitter.com/nievesfouz/status/1070821449693364224","1070821449693364224")</f>
        <v>1070821449693364224</v>
      </c>
      <c r="F1658" s="11" t="s">
        <v>2239</v>
      </c>
      <c r="G1658" s="12"/>
      <c r="H1658" s="12"/>
      <c r="I1658" s="13">
        <v>0</v>
      </c>
      <c r="J1658" s="13">
        <v>0</v>
      </c>
      <c r="K1658" s="14" t="str">
        <f>HYPERLINK("http://twitter.com/download/iphone","Twitter for iPhone")</f>
        <v>Twitter for iPhone</v>
      </c>
      <c r="L1658" s="13">
        <v>2628</v>
      </c>
      <c r="M1658" s="13">
        <v>2736</v>
      </c>
      <c r="N1658" s="13">
        <v>40</v>
      </c>
      <c r="O1658" s="15"/>
      <c r="P1658" s="6">
        <v>41664.801840277782</v>
      </c>
      <c r="Q1658" s="16" t="s">
        <v>5774</v>
      </c>
      <c r="R1658" s="17" t="s">
        <v>5775</v>
      </c>
      <c r="S1658" s="12"/>
      <c r="T1658" s="12"/>
      <c r="U1658" s="10" t="str">
        <f>HYPERLINK("https://pbs.twimg.com/profile_images/1070350690583764993/l6t0wouj.jpg","View")</f>
        <v>View</v>
      </c>
    </row>
    <row r="1659" spans="1:21" ht="40.799999999999997">
      <c r="A1659" s="6">
        <v>43441.015532407408</v>
      </c>
      <c r="B1659" s="7" t="str">
        <f>HYPERLINK("https://twitter.com/mariaro02308418","@mariaro02308418")</f>
        <v>@mariaro02308418</v>
      </c>
      <c r="C1659" s="8" t="s">
        <v>5865</v>
      </c>
      <c r="D1659" s="9" t="s">
        <v>4198</v>
      </c>
      <c r="E1659" s="10" t="str">
        <f>HYPERLINK("https://twitter.com/mariaro02308418/status/1070820775756738560","1070820775756738560")</f>
        <v>1070820775756738560</v>
      </c>
      <c r="F1659" s="11" t="s">
        <v>1185</v>
      </c>
      <c r="G1659" s="12"/>
      <c r="H1659" s="12"/>
      <c r="I1659" s="13">
        <v>40</v>
      </c>
      <c r="J1659" s="13">
        <v>53</v>
      </c>
      <c r="K1659" s="14" t="str">
        <f t="shared" ref="K1659:K1660" si="291">HYPERLINK("http://twitter.com","Twitter Web Client")</f>
        <v>Twitter Web Client</v>
      </c>
      <c r="L1659" s="13">
        <v>2536</v>
      </c>
      <c r="M1659" s="13">
        <v>3270</v>
      </c>
      <c r="N1659" s="13">
        <v>11</v>
      </c>
      <c r="O1659" s="15"/>
      <c r="P1659" s="6">
        <v>41433.99827546296</v>
      </c>
      <c r="Q1659" s="16" t="s">
        <v>5866</v>
      </c>
      <c r="R1659" s="17" t="s">
        <v>5867</v>
      </c>
      <c r="S1659" s="12"/>
      <c r="T1659" s="12"/>
      <c r="U1659" s="10" t="str">
        <f>HYPERLINK("https://pbs.twimg.com/profile_images/1052914025082826753/G9tS2l8w.jpg","View")</f>
        <v>View</v>
      </c>
    </row>
    <row r="1660" spans="1:21" ht="20.399999999999999">
      <c r="A1660" s="6">
        <v>43441.01489583333</v>
      </c>
      <c r="B1660" s="7" t="str">
        <f>HYPERLINK("https://twitter.com/Matis_Kan","@Matis_Kan")</f>
        <v>@Matis_Kan</v>
      </c>
      <c r="C1660" s="8" t="s">
        <v>5868</v>
      </c>
      <c r="D1660" s="9" t="s">
        <v>5869</v>
      </c>
      <c r="E1660" s="10" t="str">
        <f>HYPERLINK("https://twitter.com/Matis_Kan/status/1070820543904002048","1070820543904002048")</f>
        <v>1070820543904002048</v>
      </c>
      <c r="F1660" s="11" t="s">
        <v>5870</v>
      </c>
      <c r="G1660" s="12"/>
      <c r="H1660" s="12"/>
      <c r="I1660" s="13">
        <v>0</v>
      </c>
      <c r="J1660" s="13">
        <v>0</v>
      </c>
      <c r="K1660" s="14" t="str">
        <f t="shared" si="291"/>
        <v>Twitter Web Client</v>
      </c>
      <c r="L1660" s="13">
        <v>65</v>
      </c>
      <c r="M1660" s="13">
        <v>50</v>
      </c>
      <c r="N1660" s="13">
        <v>0</v>
      </c>
      <c r="O1660" s="15"/>
      <c r="P1660" s="6">
        <v>42290.528148148151</v>
      </c>
      <c r="Q1660" s="12"/>
      <c r="R1660" s="19"/>
      <c r="S1660" s="12"/>
      <c r="T1660" s="12"/>
      <c r="U1660" s="10" t="str">
        <f>HYPERLINK("https://pbs.twimg.com/profile_images/860643972166934529/vmLhsSQh.jpg","View")</f>
        <v>View</v>
      </c>
    </row>
    <row r="1661" spans="1:21" ht="40.799999999999997">
      <c r="A1661" s="6">
        <v>43441.013969907406</v>
      </c>
      <c r="B1661" s="7" t="str">
        <f>HYPERLINK("https://twitter.com/kinsale44","@kinsale44")</f>
        <v>@kinsale44</v>
      </c>
      <c r="C1661" s="8" t="s">
        <v>5871</v>
      </c>
      <c r="D1661" s="9" t="s">
        <v>5872</v>
      </c>
      <c r="E1661" s="10" t="str">
        <f>HYPERLINK("https://twitter.com/kinsale44/status/1070820210511355906","1070820210511355906")</f>
        <v>1070820210511355906</v>
      </c>
      <c r="F1661" s="12"/>
      <c r="G1661" s="12"/>
      <c r="H1661" s="12"/>
      <c r="I1661" s="13">
        <v>0</v>
      </c>
      <c r="J1661" s="13">
        <v>0</v>
      </c>
      <c r="K1661" s="14" t="str">
        <f t="shared" ref="K1661:K1662" si="292">HYPERLINK("http://twitter.com/download/android","Twitter for Android")</f>
        <v>Twitter for Android</v>
      </c>
      <c r="L1661" s="13">
        <v>150</v>
      </c>
      <c r="M1661" s="13">
        <v>433</v>
      </c>
      <c r="N1661" s="13">
        <v>3</v>
      </c>
      <c r="O1661" s="15"/>
      <c r="P1661" s="6">
        <v>42630.741354166668</v>
      </c>
      <c r="Q1661" s="16" t="s">
        <v>5362</v>
      </c>
      <c r="R1661" s="17" t="s">
        <v>5873</v>
      </c>
      <c r="S1661" s="12"/>
      <c r="T1661" s="12"/>
      <c r="U1661" s="10" t="str">
        <f>HYPERLINK("https://pbs.twimg.com/profile_images/1070049177592324096/_nzSnfYI.jpg","View")</f>
        <v>View</v>
      </c>
    </row>
    <row r="1662" spans="1:21" ht="40.799999999999997">
      <c r="A1662" s="6">
        <v>43441.010567129633</v>
      </c>
      <c r="B1662" s="7" t="str">
        <f>HYPERLINK("https://twitter.com/beatrizbecerrab","@beatrizbecerrab")</f>
        <v>@beatrizbecerrab</v>
      </c>
      <c r="C1662" s="8" t="s">
        <v>5874</v>
      </c>
      <c r="D1662" s="9" t="s">
        <v>5875</v>
      </c>
      <c r="E1662" s="10" t="str">
        <f>HYPERLINK("https://twitter.com/beatrizbecerrab/status/1070818976656211968","1070818976656211968")</f>
        <v>1070818976656211968</v>
      </c>
      <c r="F1662" s="11" t="s">
        <v>2582</v>
      </c>
      <c r="G1662" s="12"/>
      <c r="H1662" s="12"/>
      <c r="I1662" s="13">
        <v>6</v>
      </c>
      <c r="J1662" s="13">
        <v>7</v>
      </c>
      <c r="K1662" s="14" t="str">
        <f t="shared" si="292"/>
        <v>Twitter for Android</v>
      </c>
      <c r="L1662" s="13">
        <v>54383</v>
      </c>
      <c r="M1662" s="13">
        <v>4548</v>
      </c>
      <c r="N1662" s="13">
        <v>653</v>
      </c>
      <c r="O1662" s="18" t="s">
        <v>41</v>
      </c>
      <c r="P1662" s="6">
        <v>40345.695173611108</v>
      </c>
      <c r="Q1662" s="16" t="s">
        <v>2225</v>
      </c>
      <c r="R1662" s="17" t="s">
        <v>5876</v>
      </c>
      <c r="S1662" s="11" t="s">
        <v>5877</v>
      </c>
      <c r="T1662" s="12"/>
      <c r="U1662" s="10" t="str">
        <f>HYPERLINK("https://pbs.twimg.com/profile_images/882547211078389760/tA9GSi1g.jpg","View")</f>
        <v>View</v>
      </c>
    </row>
    <row r="1663" spans="1:21" ht="30.6">
      <c r="A1663" s="6">
        <v>43441.010451388887</v>
      </c>
      <c r="B1663" s="7" t="str">
        <f>HYPERLINK("https://twitter.com/enpaiszeta","@enpaiszeta")</f>
        <v>@enpaiszeta</v>
      </c>
      <c r="C1663" s="8" t="s">
        <v>5797</v>
      </c>
      <c r="D1663" s="9" t="s">
        <v>5798</v>
      </c>
      <c r="E1663" s="10" t="str">
        <f>HYPERLINK("https://twitter.com/enpaiszeta/status/1070818936344719360","1070818936344719360")</f>
        <v>1070818936344719360</v>
      </c>
      <c r="F1663" s="11" t="s">
        <v>5799</v>
      </c>
      <c r="G1663" s="11" t="s">
        <v>5800</v>
      </c>
      <c r="H1663" s="12"/>
      <c r="I1663" s="13">
        <v>8</v>
      </c>
      <c r="J1663" s="13">
        <v>1</v>
      </c>
      <c r="K1663" s="14" t="str">
        <f>HYPERLINK("https://www.socialgest.net","SocialGest")</f>
        <v>SocialGest</v>
      </c>
      <c r="L1663" s="13">
        <v>195618</v>
      </c>
      <c r="M1663" s="13">
        <v>1590</v>
      </c>
      <c r="N1663" s="13">
        <v>1043</v>
      </c>
      <c r="O1663" s="15"/>
      <c r="P1663" s="6">
        <v>40377.917337962965</v>
      </c>
      <c r="Q1663" s="16" t="s">
        <v>5801</v>
      </c>
      <c r="R1663" s="17" t="s">
        <v>5802</v>
      </c>
      <c r="S1663" s="11" t="s">
        <v>5803</v>
      </c>
      <c r="T1663" s="12"/>
      <c r="U1663" s="10" t="str">
        <f>HYPERLINK("https://pbs.twimg.com/profile_images/986324076628193280/tIK_X8wZ.jpg","View")</f>
        <v>View</v>
      </c>
    </row>
    <row r="1664" spans="1:21" ht="20.399999999999999">
      <c r="A1664" s="6">
        <v>43441.009074074071</v>
      </c>
      <c r="B1664" s="7" t="str">
        <f>HYPERLINK("https://twitter.com/anguca7","@anguca7")</f>
        <v>@anguca7</v>
      </c>
      <c r="C1664" s="8" t="s">
        <v>5878</v>
      </c>
      <c r="D1664" s="9" t="s">
        <v>3398</v>
      </c>
      <c r="E1664" s="10" t="str">
        <f>HYPERLINK("https://twitter.com/anguca7/status/1070818437037993984","1070818437037993984")</f>
        <v>1070818437037993984</v>
      </c>
      <c r="F1664" s="11" t="s">
        <v>5879</v>
      </c>
      <c r="G1664" s="12"/>
      <c r="H1664" s="12"/>
      <c r="I1664" s="13">
        <v>0</v>
      </c>
      <c r="J1664" s="13">
        <v>0</v>
      </c>
      <c r="K1664" s="14" t="str">
        <f>HYPERLINK("http://twitter.com","Twitter Web Client")</f>
        <v>Twitter Web Client</v>
      </c>
      <c r="L1664" s="13">
        <v>411</v>
      </c>
      <c r="M1664" s="13">
        <v>80</v>
      </c>
      <c r="N1664" s="13">
        <v>0</v>
      </c>
      <c r="O1664" s="15"/>
      <c r="P1664" s="6">
        <v>40322.032083333332</v>
      </c>
      <c r="Q1664" s="16" t="s">
        <v>1480</v>
      </c>
      <c r="R1664" s="23" t="s">
        <v>5880</v>
      </c>
      <c r="S1664" s="11" t="s">
        <v>5881</v>
      </c>
      <c r="T1664" s="12"/>
      <c r="U1664" s="10" t="str">
        <f>HYPERLINK("https://pbs.twimg.com/profile_images/1617622398/100_17662.jpg","View")</f>
        <v>View</v>
      </c>
    </row>
    <row r="1665" spans="1:21" ht="20.399999999999999">
      <c r="A1665" s="6">
        <v>43441.00886574074</v>
      </c>
      <c r="B1665" s="7" t="str">
        <f>HYPERLINK("https://twitter.com/infomalagacom","@infomalagacom")</f>
        <v>@infomalagacom</v>
      </c>
      <c r="C1665" s="20" t="s">
        <v>5882</v>
      </c>
      <c r="D1665" s="9" t="s">
        <v>5883</v>
      </c>
      <c r="E1665" s="10" t="str">
        <f>HYPERLINK("https://twitter.com/infomalagacom/status/1070818358218686469","1070818358218686469")</f>
        <v>1070818358218686469</v>
      </c>
      <c r="F1665" s="12"/>
      <c r="G1665" s="12"/>
      <c r="H1665" s="12"/>
      <c r="I1665" s="13">
        <v>0</v>
      </c>
      <c r="J1665" s="13">
        <v>0</v>
      </c>
      <c r="K1665" s="14" t="str">
        <f>HYPERLINK("https://ifttt.com","IFTTT")</f>
        <v>IFTTT</v>
      </c>
      <c r="L1665" s="13">
        <v>913</v>
      </c>
      <c r="M1665" s="13">
        <v>351</v>
      </c>
      <c r="N1665" s="13">
        <v>39</v>
      </c>
      <c r="O1665" s="15"/>
      <c r="P1665" s="6">
        <v>41818.393865740742</v>
      </c>
      <c r="Q1665" s="16" t="s">
        <v>1480</v>
      </c>
      <c r="R1665" s="17" t="s">
        <v>5884</v>
      </c>
      <c r="S1665" s="11" t="s">
        <v>5885</v>
      </c>
      <c r="T1665" s="12"/>
      <c r="U1665" s="10" t="str">
        <f>HYPERLINK("https://pbs.twimg.com/profile_images/571757853354909696/C8XzhcB2.png","View")</f>
        <v>View</v>
      </c>
    </row>
    <row r="1666" spans="1:21" ht="51">
      <c r="A1666" s="6">
        <v>43441.008553240739</v>
      </c>
      <c r="B1666" s="7" t="str">
        <f>HYPERLINK("https://twitter.com/Ismaelescuincs","@Ismaelescuincs")</f>
        <v>@Ismaelescuincs</v>
      </c>
      <c r="C1666" s="8" t="s">
        <v>4725</v>
      </c>
      <c r="D1666" s="9" t="s">
        <v>5887</v>
      </c>
      <c r="E1666" s="10" t="str">
        <f>HYPERLINK("https://twitter.com/Ismaelescuincs/status/1070818248168480768","1070818248168480768")</f>
        <v>1070818248168480768</v>
      </c>
      <c r="F1666" s="11" t="s">
        <v>5888</v>
      </c>
      <c r="G1666" s="12"/>
      <c r="H1666" s="12"/>
      <c r="I1666" s="13">
        <v>13</v>
      </c>
      <c r="J1666" s="13">
        <v>14</v>
      </c>
      <c r="K1666" s="14" t="str">
        <f>HYPERLINK("http://twitter.com/download/iphone","Twitter for iPhone")</f>
        <v>Twitter for iPhone</v>
      </c>
      <c r="L1666" s="13">
        <v>1138</v>
      </c>
      <c r="M1666" s="13">
        <v>1215</v>
      </c>
      <c r="N1666" s="13">
        <v>1</v>
      </c>
      <c r="O1666" s="15"/>
      <c r="P1666" s="6">
        <v>43085.040821759263</v>
      </c>
      <c r="Q1666" s="16" t="s">
        <v>4728</v>
      </c>
      <c r="R1666" s="17" t="s">
        <v>4729</v>
      </c>
      <c r="S1666" s="11" t="s">
        <v>4730</v>
      </c>
      <c r="T1666" s="12"/>
      <c r="U1666" s="10" t="str">
        <f>HYPERLINK("https://pbs.twimg.com/profile_images/1041730517530492928/JLvy_OFv.jpg","View")</f>
        <v>View</v>
      </c>
    </row>
    <row r="1667" spans="1:21" ht="40.799999999999997">
      <c r="A1667" s="6">
        <v>43441.008425925931</v>
      </c>
      <c r="B1667" s="7" t="str">
        <f>HYPERLINK("https://twitter.com/Cuetano68","@Cuetano68")</f>
        <v>@Cuetano68</v>
      </c>
      <c r="C1667" s="8" t="s">
        <v>5753</v>
      </c>
      <c r="D1667" s="9" t="s">
        <v>5889</v>
      </c>
      <c r="E1667" s="10" t="str">
        <f>HYPERLINK("https://twitter.com/Cuetano68/status/1070818201842450434","1070818201842450434")</f>
        <v>1070818201842450434</v>
      </c>
      <c r="F1667" s="11" t="s">
        <v>4628</v>
      </c>
      <c r="G1667" s="12"/>
      <c r="H1667" s="12"/>
      <c r="I1667" s="13">
        <v>4</v>
      </c>
      <c r="J1667" s="13">
        <v>0</v>
      </c>
      <c r="K1667" s="14" t="str">
        <f>HYPERLINK("http://twitter.com","Twitter Web Client")</f>
        <v>Twitter Web Client</v>
      </c>
      <c r="L1667" s="13">
        <v>5821</v>
      </c>
      <c r="M1667" s="13">
        <v>6102</v>
      </c>
      <c r="N1667" s="13">
        <v>121</v>
      </c>
      <c r="O1667" s="15"/>
      <c r="P1667" s="6">
        <v>40725.851666666669</v>
      </c>
      <c r="Q1667" s="16" t="s">
        <v>5760</v>
      </c>
      <c r="R1667" s="17" t="s">
        <v>5761</v>
      </c>
      <c r="S1667" s="11" t="s">
        <v>5762</v>
      </c>
      <c r="T1667" s="12"/>
      <c r="U1667" s="10" t="str">
        <f>HYPERLINK("https://pbs.twimg.com/profile_images/900511161799639040/5J9IE4Yv.jpg","View")</f>
        <v>View</v>
      </c>
    </row>
    <row r="1668" spans="1:21" ht="20.399999999999999">
      <c r="A1668" s="6">
        <v>43441.008206018523</v>
      </c>
      <c r="B1668" s="7" t="str">
        <f>HYPERLINK("https://twitter.com/sumariumcom","@sumariumcom")</f>
        <v>@sumariumcom</v>
      </c>
      <c r="C1668" s="8" t="s">
        <v>4525</v>
      </c>
      <c r="D1668" s="9" t="s">
        <v>4680</v>
      </c>
      <c r="E1668" s="10" t="str">
        <f>HYPERLINK("https://twitter.com/sumariumcom/status/1070818120443535360","1070818120443535360")</f>
        <v>1070818120443535360</v>
      </c>
      <c r="F1668" s="11" t="s">
        <v>4527</v>
      </c>
      <c r="G1668" s="11" t="s">
        <v>5738</v>
      </c>
      <c r="H1668" s="12"/>
      <c r="I1668" s="13">
        <v>2</v>
      </c>
      <c r="J1668" s="13">
        <v>0</v>
      </c>
      <c r="K1668" s="14" t="str">
        <f>HYPERLINK("https://about.twitter.com/products/tweetdeck","TweetDeck")</f>
        <v>TweetDeck</v>
      </c>
      <c r="L1668" s="13">
        <v>164401</v>
      </c>
      <c r="M1668" s="13">
        <v>996</v>
      </c>
      <c r="N1668" s="13">
        <v>1122</v>
      </c>
      <c r="O1668" s="15"/>
      <c r="P1668" s="6">
        <v>40977.809594907405</v>
      </c>
      <c r="Q1668" s="16" t="s">
        <v>4529</v>
      </c>
      <c r="R1668" s="19"/>
      <c r="S1668" s="11" t="s">
        <v>4530</v>
      </c>
      <c r="T1668" s="12"/>
      <c r="U1668" s="10" t="str">
        <f>HYPERLINK("https://pbs.twimg.com/profile_images/1061987847874469888/mok5IDTt.jpg","View")</f>
        <v>View</v>
      </c>
    </row>
    <row r="1669" spans="1:21" ht="30.6">
      <c r="A1669" s="6">
        <v>43441.007881944446</v>
      </c>
      <c r="B1669" s="7" t="str">
        <f>HYPERLINK("https://twitter.com/COPE","@COPE")</f>
        <v>@COPE</v>
      </c>
      <c r="C1669" s="8" t="s">
        <v>551</v>
      </c>
      <c r="D1669" s="9" t="s">
        <v>5890</v>
      </c>
      <c r="E1669" s="10" t="str">
        <f>HYPERLINK("https://twitter.com/COPE/status/1070818004278132737","1070818004278132737")</f>
        <v>1070818004278132737</v>
      </c>
      <c r="F1669" s="11" t="s">
        <v>5891</v>
      </c>
      <c r="G1669" s="12"/>
      <c r="H1669" s="12"/>
      <c r="I1669" s="13">
        <v>1</v>
      </c>
      <c r="J1669" s="13">
        <v>2</v>
      </c>
      <c r="K1669" s="14" t="str">
        <f>HYPERLINK("http://dogtrack.es","DogTrack_Oficial")</f>
        <v>DogTrack_Oficial</v>
      </c>
      <c r="L1669" s="13">
        <v>354194</v>
      </c>
      <c r="M1669" s="13">
        <v>150</v>
      </c>
      <c r="N1669" s="13">
        <v>3095</v>
      </c>
      <c r="O1669" s="18" t="s">
        <v>41</v>
      </c>
      <c r="P1669" s="6">
        <v>39381.538321759261</v>
      </c>
      <c r="Q1669" s="16" t="s">
        <v>26</v>
      </c>
      <c r="R1669" s="17" t="s">
        <v>552</v>
      </c>
      <c r="S1669" s="11" t="s">
        <v>553</v>
      </c>
      <c r="T1669" s="12"/>
      <c r="U1669" s="10" t="str">
        <f>HYPERLINK("https://pbs.twimg.com/profile_images/1063097716031533059/yAe1j-56.jpg","View")</f>
        <v>View</v>
      </c>
    </row>
    <row r="1670" spans="1:21" ht="30.6">
      <c r="A1670" s="6">
        <v>43441.007858796293</v>
      </c>
      <c r="B1670" s="7" t="str">
        <f>HYPERLINK("https://twitter.com/Mikytoytoy","@Mikytoytoy")</f>
        <v>@Mikytoytoy</v>
      </c>
      <c r="C1670" s="8" t="s">
        <v>1503</v>
      </c>
      <c r="D1670" s="9" t="s">
        <v>5892</v>
      </c>
      <c r="E1670" s="10" t="str">
        <f>HYPERLINK("https://twitter.com/Mikytoytoy/status/1070817992940896256","1070817992940896256")</f>
        <v>1070817992940896256</v>
      </c>
      <c r="F1670" s="11" t="s">
        <v>5893</v>
      </c>
      <c r="G1670" s="12"/>
      <c r="H1670" s="12"/>
      <c r="I1670" s="13">
        <v>0</v>
      </c>
      <c r="J1670" s="13">
        <v>0</v>
      </c>
      <c r="K1670" s="14" t="str">
        <f t="shared" ref="K1670:K1671" si="293">HYPERLINK("http://www.facebook.com/twitter","Facebook")</f>
        <v>Facebook</v>
      </c>
      <c r="L1670" s="13">
        <v>224</v>
      </c>
      <c r="M1670" s="13">
        <v>593</v>
      </c>
      <c r="N1670" s="13">
        <v>10</v>
      </c>
      <c r="O1670" s="15"/>
      <c r="P1670" s="6">
        <v>40188.553842592592</v>
      </c>
      <c r="Q1670" s="16" t="s">
        <v>1506</v>
      </c>
      <c r="R1670" s="17" t="s">
        <v>1507</v>
      </c>
      <c r="S1670" s="11" t="s">
        <v>1508</v>
      </c>
      <c r="T1670" s="12"/>
      <c r="U1670" s="10" t="str">
        <f>HYPERLINK("https://pbs.twimg.com/profile_images/1069121889782636544/tIqOTAmE.jpg","View")</f>
        <v>View</v>
      </c>
    </row>
    <row r="1671" spans="1:21" ht="40.799999999999997">
      <c r="A1671" s="6">
        <v>43441.007187499999</v>
      </c>
      <c r="B1671" s="7" t="str">
        <f>HYPERLINK("https://twitter.com/JuanLuisBau","@JuanLuisBau")</f>
        <v>@JuanLuisBau</v>
      </c>
      <c r="C1671" s="8" t="s">
        <v>3321</v>
      </c>
      <c r="D1671" s="9" t="s">
        <v>5894</v>
      </c>
      <c r="E1671" s="10" t="str">
        <f>HYPERLINK("https://twitter.com/JuanLuisBau/status/1070817753811030023","1070817753811030023")</f>
        <v>1070817753811030023</v>
      </c>
      <c r="F1671" s="11" t="s">
        <v>2582</v>
      </c>
      <c r="G1671" s="12"/>
      <c r="H1671" s="12"/>
      <c r="I1671" s="13">
        <v>0</v>
      </c>
      <c r="J1671" s="13">
        <v>0</v>
      </c>
      <c r="K1671" s="14" t="str">
        <f t="shared" si="293"/>
        <v>Facebook</v>
      </c>
      <c r="L1671" s="13">
        <v>77</v>
      </c>
      <c r="M1671" s="13">
        <v>176</v>
      </c>
      <c r="N1671" s="13">
        <v>0</v>
      </c>
      <c r="O1671" s="15"/>
      <c r="P1671" s="6">
        <v>42832.392430555556</v>
      </c>
      <c r="Q1671" s="16" t="s">
        <v>1073</v>
      </c>
      <c r="R1671" s="17" t="s">
        <v>3324</v>
      </c>
      <c r="S1671" s="12"/>
      <c r="T1671" s="12"/>
      <c r="U1671" s="10" t="str">
        <f>HYPERLINK("https://pbs.twimg.com/profile_images/873484324783484929/pZbpqKGu.jpg","View")</f>
        <v>View</v>
      </c>
    </row>
    <row r="1672" spans="1:21" ht="51">
      <c r="A1672" s="6">
        <v>43441.005601851852</v>
      </c>
      <c r="B1672" s="7" t="str">
        <f>HYPERLINK("https://twitter.com/compromtido22","@compromtido22")</f>
        <v>@compromtido22</v>
      </c>
      <c r="C1672" s="8" t="s">
        <v>5895</v>
      </c>
      <c r="D1672" s="9" t="s">
        <v>5896</v>
      </c>
      <c r="E1672" s="10" t="str">
        <f>HYPERLINK("https://twitter.com/compromtido22/status/1070817176318345216","1070817176318345216")</f>
        <v>1070817176318345216</v>
      </c>
      <c r="F1672" s="12"/>
      <c r="G1672" s="12"/>
      <c r="H1672" s="12"/>
      <c r="I1672" s="13">
        <v>0</v>
      </c>
      <c r="J1672" s="13">
        <v>0</v>
      </c>
      <c r="K1672" s="14" t="str">
        <f>HYPERLINK("http://twitter.com/download/android","Twitter for Android")</f>
        <v>Twitter for Android</v>
      </c>
      <c r="L1672" s="13">
        <v>955</v>
      </c>
      <c r="M1672" s="13">
        <v>858</v>
      </c>
      <c r="N1672" s="13">
        <v>15</v>
      </c>
      <c r="O1672" s="15"/>
      <c r="P1672" s="6">
        <v>42411.832291666666</v>
      </c>
      <c r="Q1672" s="12"/>
      <c r="R1672" s="17" t="s">
        <v>5897</v>
      </c>
      <c r="S1672" s="12"/>
      <c r="T1672" s="12"/>
      <c r="U1672" s="10" t="str">
        <f>HYPERLINK("https://pbs.twimg.com/profile_images/1062806370267860993/RfSkyzB-.jpg","View")</f>
        <v>View</v>
      </c>
    </row>
    <row r="1673" spans="1:21" ht="20.399999999999999">
      <c r="A1673" s="6">
        <v>43441.004687499997</v>
      </c>
      <c r="B1673" s="7" t="str">
        <f>HYPERLINK("https://twitter.com/DheiOnMars","@DheiOnMars")</f>
        <v>@DheiOnMars</v>
      </c>
      <c r="C1673" s="8" t="s">
        <v>5898</v>
      </c>
      <c r="D1673" s="9" t="s">
        <v>5899</v>
      </c>
      <c r="E1673" s="10" t="str">
        <f>HYPERLINK("https://twitter.com/DheiOnMars/status/1070816844637003776","1070816844637003776")</f>
        <v>1070816844637003776</v>
      </c>
      <c r="F1673" s="11" t="s">
        <v>5900</v>
      </c>
      <c r="G1673" s="12"/>
      <c r="H1673" s="12"/>
      <c r="I1673" s="13">
        <v>0</v>
      </c>
      <c r="J1673" s="13">
        <v>0</v>
      </c>
      <c r="K1673" s="14" t="str">
        <f>HYPERLINK("https://curiouscat.me","Curious Cat")</f>
        <v>Curious Cat</v>
      </c>
      <c r="L1673" s="13">
        <v>173</v>
      </c>
      <c r="M1673" s="13">
        <v>172</v>
      </c>
      <c r="N1673" s="13">
        <v>2</v>
      </c>
      <c r="O1673" s="15"/>
      <c r="P1673" s="6">
        <v>42261.919988425929</v>
      </c>
      <c r="Q1673" s="16" t="s">
        <v>5901</v>
      </c>
      <c r="R1673" s="17" t="s">
        <v>5902</v>
      </c>
      <c r="S1673" s="11" t="s">
        <v>5903</v>
      </c>
      <c r="T1673" s="12"/>
      <c r="U1673" s="10" t="str">
        <f>HYPERLINK("https://pbs.twimg.com/profile_images/1070071299987435521/YbRbAW50.jpg","View")</f>
        <v>View</v>
      </c>
    </row>
    <row r="1674" spans="1:21" ht="51">
      <c r="A1674" s="6">
        <v>43441.004328703704</v>
      </c>
      <c r="B1674" s="7" t="str">
        <f>HYPERLINK("https://twitter.com/pgpnzalo1","@pgpnzalo1")</f>
        <v>@pgpnzalo1</v>
      </c>
      <c r="C1674" s="8" t="s">
        <v>515</v>
      </c>
      <c r="D1674" s="9" t="s">
        <v>5904</v>
      </c>
      <c r="E1674" s="10" t="str">
        <f>HYPERLINK("https://twitter.com/pgpnzalo1/status/1070816715989233664","1070816715989233664")</f>
        <v>1070816715989233664</v>
      </c>
      <c r="F1674" s="11" t="s">
        <v>3534</v>
      </c>
      <c r="G1674" s="12"/>
      <c r="H1674" s="12"/>
      <c r="I1674" s="13">
        <v>30</v>
      </c>
      <c r="J1674" s="13">
        <v>31</v>
      </c>
      <c r="K1674" s="14" t="str">
        <f>HYPERLINK("http://twitter.com/#!/download/ipad","Twitter for iPad")</f>
        <v>Twitter for iPad</v>
      </c>
      <c r="L1674" s="13">
        <v>2634</v>
      </c>
      <c r="M1674" s="13">
        <v>1691</v>
      </c>
      <c r="N1674" s="13">
        <v>14</v>
      </c>
      <c r="O1674" s="15"/>
      <c r="P1674" s="6">
        <v>42452.777962962966</v>
      </c>
      <c r="Q1674" s="16" t="s">
        <v>517</v>
      </c>
      <c r="R1674" s="17" t="s">
        <v>518</v>
      </c>
      <c r="S1674" s="12"/>
      <c r="T1674" s="12"/>
      <c r="U1674" s="10" t="str">
        <f>HYPERLINK("https://pbs.twimg.com/profile_images/993298134901186561/A4h76s3b.jpg","View")</f>
        <v>View</v>
      </c>
    </row>
    <row r="1675" spans="1:21" ht="30.6">
      <c r="A1675" s="6">
        <v>43441.003564814819</v>
      </c>
      <c r="B1675" s="7" t="str">
        <f>HYPERLINK("https://twitter.com/JesusSemperfree","@JesusSemperfree")</f>
        <v>@JesusSemperfree</v>
      </c>
      <c r="C1675" s="8" t="s">
        <v>278</v>
      </c>
      <c r="D1675" s="9" t="s">
        <v>5905</v>
      </c>
      <c r="E1675" s="10" t="str">
        <f>HYPERLINK("https://twitter.com/JesusSemperfree/status/1070816439580442624","1070816439580442624")</f>
        <v>1070816439580442624</v>
      </c>
      <c r="F1675" s="12"/>
      <c r="G1675" s="12"/>
      <c r="H1675" s="12"/>
      <c r="I1675" s="13">
        <v>0</v>
      </c>
      <c r="J1675" s="13">
        <v>4</v>
      </c>
      <c r="K1675" s="14" t="str">
        <f t="shared" ref="K1675:K1676" si="294">HYPERLINK("http://twitter.com","Twitter Web Client")</f>
        <v>Twitter Web Client</v>
      </c>
      <c r="L1675" s="13">
        <v>853</v>
      </c>
      <c r="M1675" s="13">
        <v>708</v>
      </c>
      <c r="N1675" s="13">
        <v>3</v>
      </c>
      <c r="O1675" s="15"/>
      <c r="P1675" s="6">
        <v>41045.939050925925</v>
      </c>
      <c r="Q1675" s="16" t="s">
        <v>280</v>
      </c>
      <c r="R1675" s="17" t="s">
        <v>281</v>
      </c>
      <c r="S1675" s="12"/>
      <c r="T1675" s="12"/>
      <c r="U1675" s="10" t="str">
        <f>HYPERLINK("https://pbs.twimg.com/profile_images/1071116382459322368/SoVyGyP7.jpg","View")</f>
        <v>View</v>
      </c>
    </row>
    <row r="1676" spans="1:21" ht="30.6">
      <c r="A1676" s="6">
        <v>43441.002858796295</v>
      </c>
      <c r="B1676" s="7" t="str">
        <f>HYPERLINK("https://twitter.com/ENGINEER_28","@ENGINEER_28")</f>
        <v>@ENGINEER_28</v>
      </c>
      <c r="C1676" s="8" t="s">
        <v>966</v>
      </c>
      <c r="D1676" s="9" t="s">
        <v>5906</v>
      </c>
      <c r="E1676" s="10" t="str">
        <f>HYPERLINK("https://twitter.com/ENGINEER_28/status/1070816184944222209","1070816184944222209")</f>
        <v>1070816184944222209</v>
      </c>
      <c r="F1676" s="12"/>
      <c r="G1676" s="12"/>
      <c r="H1676" s="12"/>
      <c r="I1676" s="13">
        <v>0</v>
      </c>
      <c r="J1676" s="13">
        <v>0</v>
      </c>
      <c r="K1676" s="14" t="str">
        <f t="shared" si="294"/>
        <v>Twitter Web Client</v>
      </c>
      <c r="L1676" s="13">
        <v>5859</v>
      </c>
      <c r="M1676" s="13">
        <v>2752</v>
      </c>
      <c r="N1676" s="13">
        <v>86</v>
      </c>
      <c r="O1676" s="15"/>
      <c r="P1676" s="6">
        <v>40271.588877314818</v>
      </c>
      <c r="Q1676" s="12"/>
      <c r="R1676" s="17" t="s">
        <v>968</v>
      </c>
      <c r="S1676" s="12"/>
      <c r="T1676" s="12"/>
      <c r="U1676" s="10" t="str">
        <f>HYPERLINK("https://pbs.twimg.com/profile_images/1069171213396787201/PFW_igss.jpg","View")</f>
        <v>View</v>
      </c>
    </row>
    <row r="1677" spans="1:21" ht="112.2">
      <c r="A1677" s="6">
        <v>43440.998263888891</v>
      </c>
      <c r="B1677" s="7" t="str">
        <f>HYPERLINK("https://twitter.com/fcofdezbravo","@fcofdezbravo")</f>
        <v>@fcofdezbravo</v>
      </c>
      <c r="C1677" s="8" t="s">
        <v>5907</v>
      </c>
      <c r="D1677" s="9" t="s">
        <v>5908</v>
      </c>
      <c r="E1677" s="10" t="str">
        <f>HYPERLINK("https://twitter.com/fcofdezbravo/status/1070814517859373056","1070814517859373056")</f>
        <v>1070814517859373056</v>
      </c>
      <c r="F1677" s="11" t="s">
        <v>54</v>
      </c>
      <c r="G1677" s="11" t="s">
        <v>55</v>
      </c>
      <c r="H1677" s="12"/>
      <c r="I1677" s="13">
        <v>5</v>
      </c>
      <c r="J1677" s="13">
        <v>12</v>
      </c>
      <c r="K1677" s="14" t="str">
        <f>HYPERLINK("http://twitter.com/download/android","Twitter for Android")</f>
        <v>Twitter for Android</v>
      </c>
      <c r="L1677" s="13">
        <v>940</v>
      </c>
      <c r="M1677" s="13">
        <v>776</v>
      </c>
      <c r="N1677" s="13">
        <v>16</v>
      </c>
      <c r="O1677" s="15"/>
      <c r="P1677" s="6">
        <v>41966.90461805556</v>
      </c>
      <c r="Q1677" s="16" t="s">
        <v>5909</v>
      </c>
      <c r="R1677" s="17" t="s">
        <v>5910</v>
      </c>
      <c r="S1677" s="12"/>
      <c r="T1677" s="12"/>
      <c r="U1677" s="10" t="str">
        <f>HYPERLINK("https://pbs.twimg.com/profile_images/1065303596542148608/afViT7Z7.jpg","View")</f>
        <v>View</v>
      </c>
    </row>
    <row r="1678" spans="1:21" ht="40.799999999999997">
      <c r="A1678" s="6">
        <v>43440.996585648143</v>
      </c>
      <c r="B1678" s="7" t="str">
        <f>HYPERLINK("https://twitter.com/lextresabogados","@lextresabogados")</f>
        <v>@lextresabogados</v>
      </c>
      <c r="C1678" s="8" t="s">
        <v>226</v>
      </c>
      <c r="D1678" s="9" t="s">
        <v>5911</v>
      </c>
      <c r="E1678" s="10" t="str">
        <f>HYPERLINK("https://twitter.com/lextresabogados/status/1070813909131649026","1070813909131649026")</f>
        <v>1070813909131649026</v>
      </c>
      <c r="F1678" s="11" t="s">
        <v>5912</v>
      </c>
      <c r="G1678" s="12"/>
      <c r="H1678" s="12"/>
      <c r="I1678" s="13">
        <v>0</v>
      </c>
      <c r="J1678" s="13">
        <v>1</v>
      </c>
      <c r="K1678" s="14" t="str">
        <f>HYPERLINK("http://35.180.36.179","botize nueva")</f>
        <v>botize nueva</v>
      </c>
      <c r="L1678" s="13">
        <v>2912</v>
      </c>
      <c r="M1678" s="13">
        <v>3525</v>
      </c>
      <c r="N1678" s="13">
        <v>26</v>
      </c>
      <c r="O1678" s="15"/>
      <c r="P1678" s="6">
        <v>42880.770949074074</v>
      </c>
      <c r="Q1678" s="16" t="s">
        <v>230</v>
      </c>
      <c r="R1678" s="17" t="s">
        <v>231</v>
      </c>
      <c r="S1678" s="11" t="s">
        <v>232</v>
      </c>
      <c r="T1678" s="12"/>
      <c r="U1678" s="10" t="str">
        <f>HYPERLINK("https://pbs.twimg.com/profile_images/1068056978679898113/YnjKwiVy.jpg","View")</f>
        <v>View</v>
      </c>
    </row>
    <row r="1679" spans="1:21" ht="40.799999999999997">
      <c r="A1679" s="6">
        <v>43440.996527777781</v>
      </c>
      <c r="B1679" s="7" t="str">
        <f>HYPERLINK("https://twitter.com/20m","@20m")</f>
        <v>@20m</v>
      </c>
      <c r="C1679" s="20" t="s">
        <v>703</v>
      </c>
      <c r="D1679" s="9" t="s">
        <v>5911</v>
      </c>
      <c r="E1679" s="10" t="str">
        <f>HYPERLINK("https://twitter.com/20m/status/1070813889204547586","1070813889204547586")</f>
        <v>1070813889204547586</v>
      </c>
      <c r="F1679" s="11" t="s">
        <v>5912</v>
      </c>
      <c r="G1679" s="12"/>
      <c r="H1679" s="12"/>
      <c r="I1679" s="13">
        <v>9</v>
      </c>
      <c r="J1679" s="13">
        <v>3</v>
      </c>
      <c r="K1679" s="14" t="str">
        <f>HYPERLINK("http://dogtrack.es","DogTrack_Oficial")</f>
        <v>DogTrack_Oficial</v>
      </c>
      <c r="L1679" s="13">
        <v>1353523</v>
      </c>
      <c r="M1679" s="13">
        <v>51093</v>
      </c>
      <c r="N1679" s="13">
        <v>14084</v>
      </c>
      <c r="O1679" s="18" t="s">
        <v>41</v>
      </c>
      <c r="P1679" s="6">
        <v>39917.485891203702</v>
      </c>
      <c r="Q1679" s="16" t="s">
        <v>119</v>
      </c>
      <c r="R1679" s="17" t="s">
        <v>704</v>
      </c>
      <c r="S1679" s="11" t="s">
        <v>705</v>
      </c>
      <c r="T1679" s="12"/>
      <c r="U1679" s="10" t="str">
        <f>HYPERLINK("https://pbs.twimg.com/profile_images/1013670314285420544/gwCE6EJr.jpg","View")</f>
        <v>View</v>
      </c>
    </row>
    <row r="1680" spans="1:21" ht="20.399999999999999">
      <c r="A1680" s="6">
        <v>43440.9925</v>
      </c>
      <c r="B1680" s="7" t="str">
        <f>HYPERLINK("https://twitter.com/JavisAja","@JavisAja")</f>
        <v>@JavisAja</v>
      </c>
      <c r="C1680" s="8" t="s">
        <v>5913</v>
      </c>
      <c r="D1680" s="9" t="s">
        <v>5252</v>
      </c>
      <c r="E1680" s="10" t="str">
        <f>HYPERLINK("https://twitter.com/JavisAja/status/1070812430672945152","1070812430672945152")</f>
        <v>1070812430672945152</v>
      </c>
      <c r="F1680" s="11" t="s">
        <v>5253</v>
      </c>
      <c r="G1680" s="12"/>
      <c r="H1680" s="12"/>
      <c r="I1680" s="13">
        <v>0</v>
      </c>
      <c r="J1680" s="13">
        <v>0</v>
      </c>
      <c r="K1680" s="14" t="str">
        <f t="shared" ref="K1680:K1681" si="295">HYPERLINK("http://twitter.com","Twitter Web Client")</f>
        <v>Twitter Web Client</v>
      </c>
      <c r="L1680" s="13">
        <v>2451</v>
      </c>
      <c r="M1680" s="13">
        <v>2513</v>
      </c>
      <c r="N1680" s="13">
        <v>6</v>
      </c>
      <c r="O1680" s="15"/>
      <c r="P1680" s="6">
        <v>40765.294166666667</v>
      </c>
      <c r="Q1680" s="12"/>
      <c r="R1680" s="19"/>
      <c r="S1680" s="12"/>
      <c r="T1680" s="12"/>
      <c r="U1680" s="10" t="str">
        <f>HYPERLINK("https://pbs.twimg.com/profile_images/1046895571942834176/u-qbj13B.jpg","View")</f>
        <v>View</v>
      </c>
    </row>
    <row r="1681" spans="1:21" ht="30.6">
      <c r="A1681" s="6">
        <v>43440.992465277777</v>
      </c>
      <c r="B1681" s="7" t="str">
        <f>HYPERLINK("https://twitter.com/coli48","@coli48")</f>
        <v>@coli48</v>
      </c>
      <c r="C1681" s="8" t="s">
        <v>2268</v>
      </c>
      <c r="D1681" s="9" t="s">
        <v>1514</v>
      </c>
      <c r="E1681" s="10" t="str">
        <f>HYPERLINK("https://twitter.com/coli48/status/1070812415976198145","1070812415976198145")</f>
        <v>1070812415976198145</v>
      </c>
      <c r="F1681" s="11" t="s">
        <v>246</v>
      </c>
      <c r="G1681" s="12"/>
      <c r="H1681" s="12"/>
      <c r="I1681" s="13">
        <v>0</v>
      </c>
      <c r="J1681" s="13">
        <v>0</v>
      </c>
      <c r="K1681" s="14" t="str">
        <f t="shared" si="295"/>
        <v>Twitter Web Client</v>
      </c>
      <c r="L1681" s="13">
        <v>2241</v>
      </c>
      <c r="M1681" s="13">
        <v>2493</v>
      </c>
      <c r="N1681" s="13">
        <v>34</v>
      </c>
      <c r="O1681" s="15"/>
      <c r="P1681" s="6">
        <v>40638.014861111107</v>
      </c>
      <c r="Q1681" s="16" t="s">
        <v>60</v>
      </c>
      <c r="R1681" s="17" t="s">
        <v>2271</v>
      </c>
      <c r="S1681" s="12"/>
      <c r="T1681" s="12"/>
      <c r="U1681" s="10" t="str">
        <f>HYPERLINK("https://pbs.twimg.com/profile_images/818574685420011520/kBqBi4de.jpg","View")</f>
        <v>View</v>
      </c>
    </row>
    <row r="1682" spans="1:21" ht="30.6">
      <c r="A1682" s="6">
        <v>43440.992268518516</v>
      </c>
      <c r="B1682" s="7" t="str">
        <f>HYPERLINK("https://twitter.com/Antonio6444a","@Antonio6444a")</f>
        <v>@Antonio6444a</v>
      </c>
      <c r="C1682" s="8" t="s">
        <v>2557</v>
      </c>
      <c r="D1682" s="9" t="s">
        <v>5914</v>
      </c>
      <c r="E1682" s="10" t="str">
        <f>HYPERLINK("https://twitter.com/Antonio6444a/status/1070812344765296640","1070812344765296640")</f>
        <v>1070812344765296640</v>
      </c>
      <c r="F1682" s="12"/>
      <c r="G1682" s="12"/>
      <c r="H1682" s="12"/>
      <c r="I1682" s="13">
        <v>0</v>
      </c>
      <c r="J1682" s="13">
        <v>1</v>
      </c>
      <c r="K1682" s="14" t="str">
        <f>HYPERLINK("http://twitter.com/download/android","Twitter for Android")</f>
        <v>Twitter for Android</v>
      </c>
      <c r="L1682" s="13">
        <v>168</v>
      </c>
      <c r="M1682" s="13">
        <v>317</v>
      </c>
      <c r="N1682" s="13">
        <v>0</v>
      </c>
      <c r="O1682" s="15"/>
      <c r="P1682" s="6">
        <v>42235.675023148149</v>
      </c>
      <c r="Q1682" s="16" t="s">
        <v>1003</v>
      </c>
      <c r="R1682" s="17" t="s">
        <v>5915</v>
      </c>
      <c r="S1682" s="12"/>
      <c r="T1682" s="12"/>
      <c r="U1682" s="10" t="str">
        <f>HYPERLINK("https://pbs.twimg.com/profile_images/771706757848698880/PJxvcQsi.jpg","View")</f>
        <v>View</v>
      </c>
    </row>
    <row r="1683" spans="1:21" ht="61.2">
      <c r="A1683" s="6">
        <v>43440.991319444445</v>
      </c>
      <c r="B1683" s="7" t="str">
        <f>HYPERLINK("https://twitter.com/dllanosg","@dllanosg")</f>
        <v>@dllanosg</v>
      </c>
      <c r="C1683" s="8" t="s">
        <v>5916</v>
      </c>
      <c r="D1683" s="9" t="s">
        <v>5917</v>
      </c>
      <c r="E1683" s="10" t="str">
        <f>HYPERLINK("https://twitter.com/dllanosg/status/1070812000975052801","1070812000975052801")</f>
        <v>1070812000975052801</v>
      </c>
      <c r="F1683" s="11" t="s">
        <v>5918</v>
      </c>
      <c r="G1683" s="11" t="s">
        <v>5919</v>
      </c>
      <c r="H1683" s="12"/>
      <c r="I1683" s="13">
        <v>1</v>
      </c>
      <c r="J1683" s="13">
        <v>1</v>
      </c>
      <c r="K1683" s="14" t="str">
        <f>HYPERLINK("http://twitter.com/download/iphone","Twitter for iPhone")</f>
        <v>Twitter for iPhone</v>
      </c>
      <c r="L1683" s="13">
        <v>3591</v>
      </c>
      <c r="M1683" s="13">
        <v>2656</v>
      </c>
      <c r="N1683" s="13">
        <v>89</v>
      </c>
      <c r="O1683" s="15"/>
      <c r="P1683" s="6">
        <v>39438.791365740741</v>
      </c>
      <c r="Q1683" s="16" t="s">
        <v>710</v>
      </c>
      <c r="R1683" s="17" t="s">
        <v>5920</v>
      </c>
      <c r="S1683" s="11" t="s">
        <v>5921</v>
      </c>
      <c r="T1683" s="12"/>
      <c r="U1683" s="10" t="str">
        <f>HYPERLINK("https://pbs.twimg.com/profile_images/921127676450131968/VkVlc4LO.jpg","View")</f>
        <v>View</v>
      </c>
    </row>
    <row r="1684" spans="1:21" ht="40.799999999999997">
      <c r="A1684" s="6">
        <v>43440.991053240738</v>
      </c>
      <c r="B1684" s="7" t="str">
        <f>HYPERLINK("https://twitter.com/elcondedelaisla","@elcondedelaisla")</f>
        <v>@elcondedelaisla</v>
      </c>
      <c r="C1684" s="8" t="s">
        <v>5922</v>
      </c>
      <c r="D1684" s="9" t="s">
        <v>5923</v>
      </c>
      <c r="E1684" s="10" t="str">
        <f>HYPERLINK("https://twitter.com/elcondedelaisla/status/1070811902857670656","1070811902857670656")</f>
        <v>1070811902857670656</v>
      </c>
      <c r="F1684" s="11" t="s">
        <v>5924</v>
      </c>
      <c r="G1684" s="12"/>
      <c r="H1684" s="12"/>
      <c r="I1684" s="13">
        <v>0</v>
      </c>
      <c r="J1684" s="13">
        <v>0</v>
      </c>
      <c r="K1684" s="14" t="str">
        <f>HYPERLINK("http://instagram.com","Instagram")</f>
        <v>Instagram</v>
      </c>
      <c r="L1684" s="13">
        <v>213</v>
      </c>
      <c r="M1684" s="13">
        <v>219</v>
      </c>
      <c r="N1684" s="13">
        <v>3</v>
      </c>
      <c r="O1684" s="15"/>
      <c r="P1684" s="6">
        <v>40903.482210648144</v>
      </c>
      <c r="Q1684" s="16" t="s">
        <v>60</v>
      </c>
      <c r="R1684" s="19"/>
      <c r="S1684" s="12"/>
      <c r="T1684" s="12"/>
      <c r="U1684" s="10" t="str">
        <f>HYPERLINK("https://pbs.twimg.com/profile_images/3488880111/a9a7174ba6f51f798ea1384c21fc93c9.jpeg","View")</f>
        <v>View</v>
      </c>
    </row>
    <row r="1685" spans="1:21" ht="40.799999999999997">
      <c r="A1685" s="6">
        <v>43440.989247685182</v>
      </c>
      <c r="B1685" s="7" t="str">
        <f>HYPERLINK("https://twitter.com/JJcorocotta","@JJcorocotta")</f>
        <v>@JJcorocotta</v>
      </c>
      <c r="C1685" s="8" t="s">
        <v>5925</v>
      </c>
      <c r="D1685" s="9" t="s">
        <v>5926</v>
      </c>
      <c r="E1685" s="10" t="str">
        <f>HYPERLINK("https://twitter.com/JJcorocotta/status/1070811251322834944","1070811251322834944")</f>
        <v>1070811251322834944</v>
      </c>
      <c r="F1685" s="11" t="s">
        <v>4192</v>
      </c>
      <c r="G1685" s="12"/>
      <c r="H1685" s="12"/>
      <c r="I1685" s="13">
        <v>0</v>
      </c>
      <c r="J1685" s="13">
        <v>0</v>
      </c>
      <c r="K1685" s="14" t="str">
        <f>HYPERLINK("http://twitter.com/download/iphone","Twitter for iPhone")</f>
        <v>Twitter for iPhone</v>
      </c>
      <c r="L1685" s="13">
        <v>90</v>
      </c>
      <c r="M1685" s="13">
        <v>424</v>
      </c>
      <c r="N1685" s="13">
        <v>1</v>
      </c>
      <c r="O1685" s="15"/>
      <c r="P1685" s="6">
        <v>42981.102349537032</v>
      </c>
      <c r="Q1685" s="16" t="s">
        <v>5927</v>
      </c>
      <c r="R1685" s="17" t="s">
        <v>5928</v>
      </c>
      <c r="S1685" s="12"/>
      <c r="T1685" s="12"/>
      <c r="U1685" s="10" t="str">
        <f>HYPERLINK("https://pbs.twimg.com/profile_images/904394171213123589/77wHVWJW.jpg","View")</f>
        <v>View</v>
      </c>
    </row>
    <row r="1686" spans="1:21" ht="81.599999999999994">
      <c r="A1686" s="6">
        <v>43440.98809027778</v>
      </c>
      <c r="B1686" s="7" t="str">
        <f>HYPERLINK("https://twitter.com/PepitaMenaMart1","@PepitaMenaMart1")</f>
        <v>@PepitaMenaMart1</v>
      </c>
      <c r="C1686" s="8" t="s">
        <v>2188</v>
      </c>
      <c r="D1686" s="9" t="s">
        <v>5929</v>
      </c>
      <c r="E1686" s="10" t="str">
        <f>HYPERLINK("https://twitter.com/PepitaMenaMart1/status/1070810831347167233","1070810831347167233")</f>
        <v>1070810831347167233</v>
      </c>
      <c r="F1686" s="16" t="s">
        <v>5930</v>
      </c>
      <c r="G1686" s="12"/>
      <c r="H1686" s="12"/>
      <c r="I1686" s="13">
        <v>3</v>
      </c>
      <c r="J1686" s="13">
        <v>3</v>
      </c>
      <c r="K1686" s="14" t="str">
        <f>HYPERLINK("http://twitter.com/download/android","Twitter for Android")</f>
        <v>Twitter for Android</v>
      </c>
      <c r="L1686" s="13">
        <v>437</v>
      </c>
      <c r="M1686" s="13">
        <v>350</v>
      </c>
      <c r="N1686" s="13">
        <v>1</v>
      </c>
      <c r="O1686" s="15"/>
      <c r="P1686" s="6">
        <v>43124.888506944444</v>
      </c>
      <c r="Q1686" s="16" t="s">
        <v>2190</v>
      </c>
      <c r="R1686" s="17" t="s">
        <v>2191</v>
      </c>
      <c r="S1686" s="12"/>
      <c r="T1686" s="12"/>
      <c r="U1686" s="10" t="str">
        <f>HYPERLINK("https://pbs.twimg.com/profile_images/1053410905311064064/xChXdA8v.jpg","View")</f>
        <v>View</v>
      </c>
    </row>
    <row r="1687" spans="1:21" ht="20.399999999999999">
      <c r="A1687" s="6">
        <v>43440.987557870365</v>
      </c>
      <c r="B1687" s="7" t="str">
        <f>HYPERLINK("https://twitter.com/AlieNomPuto","@AlieNomPuto")</f>
        <v>@AlieNomPuto</v>
      </c>
      <c r="C1687" s="8" t="s">
        <v>5931</v>
      </c>
      <c r="D1687" s="9" t="s">
        <v>2521</v>
      </c>
      <c r="E1687" s="10" t="str">
        <f>HYPERLINK("https://twitter.com/AlieNomPuto/status/1070810637083635712","1070810637083635712")</f>
        <v>1070810637083635712</v>
      </c>
      <c r="F1687" s="11" t="s">
        <v>5932</v>
      </c>
      <c r="G1687" s="11" t="s">
        <v>5933</v>
      </c>
      <c r="H1687" s="12"/>
      <c r="I1687" s="13">
        <v>1</v>
      </c>
      <c r="J1687" s="13">
        <v>1</v>
      </c>
      <c r="K1687" s="14" t="str">
        <f>HYPERLINK("https://dlvrit.com/","dlvr.it")</f>
        <v>dlvr.it</v>
      </c>
      <c r="L1687" s="13">
        <v>5914</v>
      </c>
      <c r="M1687" s="13">
        <v>3871</v>
      </c>
      <c r="N1687" s="13">
        <v>109</v>
      </c>
      <c r="O1687" s="15"/>
      <c r="P1687" s="6">
        <v>41182.670740740738</v>
      </c>
      <c r="Q1687" s="16" t="s">
        <v>5934</v>
      </c>
      <c r="R1687" s="17" t="s">
        <v>5935</v>
      </c>
      <c r="S1687" s="12"/>
      <c r="T1687" s="12"/>
      <c r="U1687" s="10" t="str">
        <f>HYPERLINK("https://pbs.twimg.com/profile_images/1032654794916356097/DTIDzH2a.jpg","View")</f>
        <v>View</v>
      </c>
    </row>
    <row r="1688" spans="1:21" ht="40.799999999999997">
      <c r="A1688" s="6">
        <v>43440.987060185187</v>
      </c>
      <c r="B1688" s="7" t="str">
        <f>HYPERLINK("https://twitter.com/VAMarcosL","@VAMarcosL")</f>
        <v>@VAMarcosL</v>
      </c>
      <c r="C1688" s="8" t="s">
        <v>5936</v>
      </c>
      <c r="D1688" s="9" t="s">
        <v>5937</v>
      </c>
      <c r="E1688" s="10" t="str">
        <f>HYPERLINK("https://twitter.com/VAMarcosL/status/1070810456854544384","1070810456854544384")</f>
        <v>1070810456854544384</v>
      </c>
      <c r="F1688" s="11" t="s">
        <v>5938</v>
      </c>
      <c r="G1688" s="12"/>
      <c r="H1688" s="12"/>
      <c r="I1688" s="13">
        <v>0</v>
      </c>
      <c r="J1688" s="13">
        <v>0</v>
      </c>
      <c r="K1688" s="14" t="str">
        <f>HYPERLINK("http://twitter.com","Twitter Web Client")</f>
        <v>Twitter Web Client</v>
      </c>
      <c r="L1688" s="13">
        <v>2421</v>
      </c>
      <c r="M1688" s="13">
        <v>2412</v>
      </c>
      <c r="N1688" s="13">
        <v>70</v>
      </c>
      <c r="O1688" s="15"/>
      <c r="P1688" s="6">
        <v>40608.82340277778</v>
      </c>
      <c r="Q1688" s="16" t="s">
        <v>5939</v>
      </c>
      <c r="R1688" s="17" t="s">
        <v>5940</v>
      </c>
      <c r="S1688" s="12"/>
      <c r="T1688" s="12"/>
      <c r="U1688" s="10" t="str">
        <f>HYPERLINK("https://pbs.twimg.com/profile_images/970324059090313218/ltowCBEJ.jpg","View")</f>
        <v>View</v>
      </c>
    </row>
    <row r="1689" spans="1:21" ht="40.799999999999997">
      <c r="A1689" s="6">
        <v>43440.986655092594</v>
      </c>
      <c r="B1689" s="7" t="str">
        <f>HYPERLINK("https://twitter.com/Gonzlz57","@Gonzlz57")</f>
        <v>@Gonzlz57</v>
      </c>
      <c r="C1689" s="8" t="s">
        <v>5941</v>
      </c>
      <c r="D1689" s="9" t="s">
        <v>5942</v>
      </c>
      <c r="E1689" s="10" t="str">
        <f>HYPERLINK("https://twitter.com/Gonzlz57/status/1070810312314642432","1070810312314642432")</f>
        <v>1070810312314642432</v>
      </c>
      <c r="F1689" s="11" t="s">
        <v>246</v>
      </c>
      <c r="G1689" s="12"/>
      <c r="H1689" s="12"/>
      <c r="I1689" s="13">
        <v>0</v>
      </c>
      <c r="J1689" s="13">
        <v>0</v>
      </c>
      <c r="K1689" s="14" t="str">
        <f>HYPERLINK("http://twitter.com/download/android","Twitter for Android")</f>
        <v>Twitter for Android</v>
      </c>
      <c r="L1689" s="13">
        <v>89</v>
      </c>
      <c r="M1689" s="13">
        <v>113</v>
      </c>
      <c r="N1689" s="13">
        <v>0</v>
      </c>
      <c r="O1689" s="15"/>
      <c r="P1689" s="6">
        <v>42992.201273148152</v>
      </c>
      <c r="Q1689" s="16" t="s">
        <v>653</v>
      </c>
      <c r="R1689" s="17" t="s">
        <v>5943</v>
      </c>
      <c r="S1689" s="12"/>
      <c r="T1689" s="12"/>
      <c r="U1689" s="10" t="str">
        <f>HYPERLINK("https://pbs.twimg.com/profile_images/951285319621660672/b4AbPHNN.jpg","View")</f>
        <v>View</v>
      </c>
    </row>
    <row r="1690" spans="1:21" ht="51">
      <c r="A1690" s="6">
        <v>43440.985127314816</v>
      </c>
      <c r="B1690" s="7" t="str">
        <f>HYPERLINK("https://twitter.com/psolagus","@psolagus")</f>
        <v>@psolagus</v>
      </c>
      <c r="C1690" s="8" t="s">
        <v>5944</v>
      </c>
      <c r="D1690" s="9" t="s">
        <v>5945</v>
      </c>
      <c r="E1690" s="10" t="str">
        <f>HYPERLINK("https://twitter.com/psolagus/status/1070809759186599938","1070809759186599938")</f>
        <v>1070809759186599938</v>
      </c>
      <c r="F1690" s="11" t="s">
        <v>3534</v>
      </c>
      <c r="G1690" s="12"/>
      <c r="H1690" s="12"/>
      <c r="I1690" s="13">
        <v>0</v>
      </c>
      <c r="J1690" s="13">
        <v>0</v>
      </c>
      <c r="K1690" s="14" t="str">
        <f t="shared" ref="K1690:K1695" si="296">HYPERLINK("http://twitter.com","Twitter Web Client")</f>
        <v>Twitter Web Client</v>
      </c>
      <c r="L1690" s="13">
        <v>885</v>
      </c>
      <c r="M1690" s="13">
        <v>1572</v>
      </c>
      <c r="N1690" s="13">
        <v>22</v>
      </c>
      <c r="O1690" s="15"/>
      <c r="P1690" s="6">
        <v>40767.627013888887</v>
      </c>
      <c r="Q1690" s="16" t="s">
        <v>85</v>
      </c>
      <c r="R1690" s="17" t="s">
        <v>5946</v>
      </c>
      <c r="S1690" s="12"/>
      <c r="T1690" s="12"/>
      <c r="U1690" s="10" t="str">
        <f>HYPERLINK("https://pbs.twimg.com/profile_images/1012316944987541505/61nReuu3.jpg","View")</f>
        <v>View</v>
      </c>
    </row>
    <row r="1691" spans="1:21" ht="20.399999999999999">
      <c r="A1691" s="6">
        <v>43440.983796296292</v>
      </c>
      <c r="B1691" s="7" t="str">
        <f>HYPERLINK("https://twitter.com/jmrodri2017","@jmrodri2017")</f>
        <v>@jmrodri2017</v>
      </c>
      <c r="C1691" s="8" t="s">
        <v>5947</v>
      </c>
      <c r="D1691" s="9" t="s">
        <v>5252</v>
      </c>
      <c r="E1691" s="10" t="str">
        <f>HYPERLINK("https://twitter.com/jmrodri2017/status/1070809277005221889","1070809277005221889")</f>
        <v>1070809277005221889</v>
      </c>
      <c r="F1691" s="11" t="s">
        <v>5253</v>
      </c>
      <c r="G1691" s="12"/>
      <c r="H1691" s="12"/>
      <c r="I1691" s="13">
        <v>0</v>
      </c>
      <c r="J1691" s="13">
        <v>0</v>
      </c>
      <c r="K1691" s="14" t="str">
        <f t="shared" si="296"/>
        <v>Twitter Web Client</v>
      </c>
      <c r="L1691" s="13">
        <v>200</v>
      </c>
      <c r="M1691" s="13">
        <v>74</v>
      </c>
      <c r="N1691" s="13">
        <v>1</v>
      </c>
      <c r="O1691" s="15"/>
      <c r="P1691" s="6">
        <v>42775.100162037037</v>
      </c>
      <c r="Q1691" s="12"/>
      <c r="R1691" s="19"/>
      <c r="S1691" s="12"/>
      <c r="T1691" s="12"/>
      <c r="U1691" s="10" t="str">
        <f>HYPERLINK("https://pbs.twimg.com/profile_images/1005251109504548870/P55NlP5q.jpg","View")</f>
        <v>View</v>
      </c>
    </row>
    <row r="1692" spans="1:21" ht="51">
      <c r="A1692" s="6">
        <v>43440.983726851853</v>
      </c>
      <c r="B1692" s="7" t="str">
        <f>HYPERLINK("https://twitter.com/LuisJavierSanj2","@LuisJavierSanj2")</f>
        <v>@LuisJavierSanj2</v>
      </c>
      <c r="C1692" s="8" t="s">
        <v>3551</v>
      </c>
      <c r="D1692" s="9" t="s">
        <v>5948</v>
      </c>
      <c r="E1692" s="10" t="str">
        <f>HYPERLINK("https://twitter.com/LuisJavierSanj2/status/1070809250576957445","1070809250576957445")</f>
        <v>1070809250576957445</v>
      </c>
      <c r="F1692" s="16" t="s">
        <v>5949</v>
      </c>
      <c r="G1692" s="11" t="s">
        <v>5950</v>
      </c>
      <c r="H1692" s="12"/>
      <c r="I1692" s="13">
        <v>0</v>
      </c>
      <c r="J1692" s="13">
        <v>0</v>
      </c>
      <c r="K1692" s="14" t="str">
        <f t="shared" si="296"/>
        <v>Twitter Web Client</v>
      </c>
      <c r="L1692" s="13">
        <v>806</v>
      </c>
      <c r="M1692" s="13">
        <v>1244</v>
      </c>
      <c r="N1692" s="13">
        <v>1</v>
      </c>
      <c r="O1692" s="15"/>
      <c r="P1692" s="6">
        <v>43017.871759259258</v>
      </c>
      <c r="Q1692" s="12"/>
      <c r="R1692" s="17" t="s">
        <v>3553</v>
      </c>
      <c r="S1692" s="12"/>
      <c r="T1692" s="12"/>
      <c r="U1692" s="10" t="str">
        <f>HYPERLINK("https://pbs.twimg.com/profile_images/983037090681245696/C-KQIcbF.jpg","View")</f>
        <v>View</v>
      </c>
    </row>
    <row r="1693" spans="1:21" ht="20.399999999999999">
      <c r="A1693" s="6">
        <v>43440.981898148151</v>
      </c>
      <c r="B1693" s="7" t="str">
        <f>HYPERLINK("https://twitter.com/MartinaDiv","@MartinaDiv")</f>
        <v>@MartinaDiv</v>
      </c>
      <c r="C1693" s="8" t="s">
        <v>5951</v>
      </c>
      <c r="D1693" s="9" t="s">
        <v>1324</v>
      </c>
      <c r="E1693" s="10" t="str">
        <f>HYPERLINK("https://twitter.com/MartinaDiv/status/1070808589193936896","1070808589193936896")</f>
        <v>1070808589193936896</v>
      </c>
      <c r="F1693" s="11" t="s">
        <v>467</v>
      </c>
      <c r="G1693" s="12"/>
      <c r="H1693" s="12"/>
      <c r="I1693" s="13">
        <v>0</v>
      </c>
      <c r="J1693" s="13">
        <v>0</v>
      </c>
      <c r="K1693" s="14" t="str">
        <f t="shared" si="296"/>
        <v>Twitter Web Client</v>
      </c>
      <c r="L1693" s="13">
        <v>694</v>
      </c>
      <c r="M1693" s="13">
        <v>478</v>
      </c>
      <c r="N1693" s="13">
        <v>9</v>
      </c>
      <c r="O1693" s="15"/>
      <c r="P1693" s="6">
        <v>40876.829386574071</v>
      </c>
      <c r="Q1693" s="16" t="s">
        <v>60</v>
      </c>
      <c r="R1693" s="17" t="s">
        <v>5952</v>
      </c>
      <c r="S1693" s="12"/>
      <c r="T1693" s="12"/>
      <c r="U1693" s="10" t="str">
        <f>HYPERLINK("https://pbs.twimg.com/profile_images/2525312543/x1na0jrpn4fkinjv3o66.jpeg","View")</f>
        <v>View</v>
      </c>
    </row>
    <row r="1694" spans="1:21" ht="20.399999999999999">
      <c r="A1694" s="6">
        <v>43440.981631944444</v>
      </c>
      <c r="B1694" s="7" t="str">
        <f>HYPERLINK("https://twitter.com/carlachiguire","@carlachiguire")</f>
        <v>@carlachiguire</v>
      </c>
      <c r="C1694" s="8" t="s">
        <v>5953</v>
      </c>
      <c r="D1694" s="9" t="s">
        <v>4627</v>
      </c>
      <c r="E1694" s="10" t="str">
        <f>HYPERLINK("https://twitter.com/carlachiguire/status/1070808491433123841","1070808491433123841")</f>
        <v>1070808491433123841</v>
      </c>
      <c r="F1694" s="11" t="s">
        <v>4628</v>
      </c>
      <c r="G1694" s="12"/>
      <c r="H1694" s="12"/>
      <c r="I1694" s="13">
        <v>0</v>
      </c>
      <c r="J1694" s="13">
        <v>0</v>
      </c>
      <c r="K1694" s="14" t="str">
        <f t="shared" si="296"/>
        <v>Twitter Web Client</v>
      </c>
      <c r="L1694" s="13">
        <v>1766</v>
      </c>
      <c r="M1694" s="13">
        <v>1957</v>
      </c>
      <c r="N1694" s="13">
        <v>20</v>
      </c>
      <c r="O1694" s="15"/>
      <c r="P1694" s="6">
        <v>40226.152488425927</v>
      </c>
      <c r="Q1694" s="16" t="s">
        <v>5954</v>
      </c>
      <c r="R1694" s="17" t="s">
        <v>5955</v>
      </c>
      <c r="S1694" s="12"/>
      <c r="T1694" s="12"/>
      <c r="U1694" s="10" t="str">
        <f>HYPERLINK("https://pbs.twimg.com/profile_images/1726174736/carla.jpg","View")</f>
        <v>View</v>
      </c>
    </row>
    <row r="1695" spans="1:21" ht="30.6">
      <c r="A1695" s="6">
        <v>43440.980590277773</v>
      </c>
      <c r="B1695" s="7" t="str">
        <f>HYPERLINK("https://twitter.com/Pedro_Castro","@Pedro_Castro")</f>
        <v>@Pedro_Castro</v>
      </c>
      <c r="C1695" s="8" t="s">
        <v>140</v>
      </c>
      <c r="D1695" s="9" t="s">
        <v>1903</v>
      </c>
      <c r="E1695" s="10" t="str">
        <f>HYPERLINK("https://twitter.com/Pedro_Castro/status/1070808114067357701","1070808114067357701")</f>
        <v>1070808114067357701</v>
      </c>
      <c r="F1695" s="11" t="s">
        <v>3561</v>
      </c>
      <c r="G1695" s="12"/>
      <c r="H1695" s="12"/>
      <c r="I1695" s="13">
        <v>0</v>
      </c>
      <c r="J1695" s="13">
        <v>0</v>
      </c>
      <c r="K1695" s="14" t="str">
        <f t="shared" si="296"/>
        <v>Twitter Web Client</v>
      </c>
      <c r="L1695" s="13">
        <v>12369</v>
      </c>
      <c r="M1695" s="13">
        <v>5931</v>
      </c>
      <c r="N1695" s="13">
        <v>412</v>
      </c>
      <c r="O1695" s="15"/>
      <c r="P1695" s="6">
        <v>39811.502395833333</v>
      </c>
      <c r="Q1695" s="16" t="s">
        <v>144</v>
      </c>
      <c r="R1695" s="17" t="s">
        <v>145</v>
      </c>
      <c r="S1695" s="11" t="s">
        <v>146</v>
      </c>
      <c r="T1695" s="12"/>
      <c r="U1695" s="10" t="str">
        <f>HYPERLINK("https://pbs.twimg.com/profile_images/1423190616/203177_1104736911_528524_n2.jpg","View")</f>
        <v>View</v>
      </c>
    </row>
    <row r="1696" spans="1:21" ht="40.799999999999997">
      <c r="A1696" s="6">
        <v>43440.980590277773</v>
      </c>
      <c r="B1696" s="7" t="str">
        <f>HYPERLINK("https://twitter.com/pacoluisj","@pacoluisj")</f>
        <v>@pacoluisj</v>
      </c>
      <c r="C1696" s="8" t="s">
        <v>5261</v>
      </c>
      <c r="D1696" s="9" t="s">
        <v>5956</v>
      </c>
      <c r="E1696" s="10" t="str">
        <f>HYPERLINK("https://twitter.com/pacoluisj/status/1070808113220067328","1070808113220067328")</f>
        <v>1070808113220067328</v>
      </c>
      <c r="F1696" s="11" t="s">
        <v>5957</v>
      </c>
      <c r="G1696" s="12"/>
      <c r="H1696" s="12"/>
      <c r="I1696" s="13">
        <v>0</v>
      </c>
      <c r="J1696" s="13">
        <v>1</v>
      </c>
      <c r="K1696" s="14" t="str">
        <f t="shared" ref="K1696:K1697" si="297">HYPERLINK("http://twitter.com/download/android","Twitter for Android")</f>
        <v>Twitter for Android</v>
      </c>
      <c r="L1696" s="13">
        <v>5128</v>
      </c>
      <c r="M1696" s="13">
        <v>5193</v>
      </c>
      <c r="N1696" s="13">
        <v>33</v>
      </c>
      <c r="O1696" s="15"/>
      <c r="P1696" s="6">
        <v>40259.792893518519</v>
      </c>
      <c r="Q1696" s="16" t="s">
        <v>60</v>
      </c>
      <c r="R1696" s="17" t="s">
        <v>5264</v>
      </c>
      <c r="S1696" s="12"/>
      <c r="T1696" s="12"/>
      <c r="U1696" s="10" t="str">
        <f>HYPERLINK("https://pbs.twimg.com/profile_images/978195787904634880/xKXdKqVW.jpg","View")</f>
        <v>View</v>
      </c>
    </row>
    <row r="1697" spans="1:21" ht="20.399999999999999">
      <c r="A1697" s="6">
        <v>43440.979861111111</v>
      </c>
      <c r="B1697" s="7" t="str">
        <f>HYPERLINK("https://twitter.com/mluz82","@mluz82")</f>
        <v>@mluz82</v>
      </c>
      <c r="C1697" s="8" t="s">
        <v>5958</v>
      </c>
      <c r="D1697" s="9" t="s">
        <v>5959</v>
      </c>
      <c r="E1697" s="10" t="str">
        <f>HYPERLINK("https://twitter.com/mluz82/status/1070807848957952007","1070807848957952007")</f>
        <v>1070807848957952007</v>
      </c>
      <c r="F1697" s="11" t="s">
        <v>1591</v>
      </c>
      <c r="G1697" s="12"/>
      <c r="H1697" s="12"/>
      <c r="I1697" s="13">
        <v>0</v>
      </c>
      <c r="J1697" s="13">
        <v>0</v>
      </c>
      <c r="K1697" s="14" t="str">
        <f t="shared" si="297"/>
        <v>Twitter for Android</v>
      </c>
      <c r="L1697" s="13">
        <v>68</v>
      </c>
      <c r="M1697" s="13">
        <v>426</v>
      </c>
      <c r="N1697" s="13">
        <v>0</v>
      </c>
      <c r="O1697" s="15"/>
      <c r="P1697" s="6">
        <v>40394.910150462965</v>
      </c>
      <c r="Q1697" s="16" t="s">
        <v>427</v>
      </c>
      <c r="R1697" s="17" t="s">
        <v>5960</v>
      </c>
      <c r="S1697" s="12"/>
      <c r="T1697" s="12"/>
      <c r="U1697" s="10" t="str">
        <f>HYPERLINK("https://pbs.twimg.com/profile_images/1056722269362360320/EnHkSXxW.jpg","View")</f>
        <v>View</v>
      </c>
    </row>
    <row r="1698" spans="1:21" ht="20.399999999999999">
      <c r="A1698" s="6">
        <v>43440.979456018518</v>
      </c>
      <c r="B1698" s="7" t="str">
        <f>HYPERLINK("https://twitter.com/InfoHeaders_Tes","@InfoHeaders_Tes")</f>
        <v>@InfoHeaders_Tes</v>
      </c>
      <c r="C1698" s="8" t="s">
        <v>4360</v>
      </c>
      <c r="D1698" s="9" t="s">
        <v>5962</v>
      </c>
      <c r="E1698" s="10" t="str">
        <f>HYPERLINK("https://twitter.com/InfoHeaders_Tes/status/1070807701150683138","1070807701150683138")</f>
        <v>1070807701150683138</v>
      </c>
      <c r="F1698" s="11" t="s">
        <v>5963</v>
      </c>
      <c r="G1698" s="12"/>
      <c r="H1698" s="12"/>
      <c r="I1698" s="13">
        <v>0</v>
      </c>
      <c r="J1698" s="13">
        <v>0</v>
      </c>
      <c r="K1698" s="14" t="str">
        <f>HYPERLINK("http://www.infoheaders.com","Send _Tw_INFH_Test")</f>
        <v>Send _Tw_INFH_Test</v>
      </c>
      <c r="L1698" s="13">
        <v>201</v>
      </c>
      <c r="M1698" s="13">
        <v>1</v>
      </c>
      <c r="N1698" s="13">
        <v>100</v>
      </c>
      <c r="O1698" s="15"/>
      <c r="P1698" s="6">
        <v>41315.710497685184</v>
      </c>
      <c r="Q1698" s="16" t="s">
        <v>60</v>
      </c>
      <c r="R1698" s="17" t="s">
        <v>4363</v>
      </c>
      <c r="S1698" s="11" t="s">
        <v>4364</v>
      </c>
      <c r="T1698" s="12"/>
      <c r="U1698" s="10" t="str">
        <f>HYPERLINK("https://pbs.twimg.com/profile_images/3234700567/566c3c8e394f76d77a41eafe1bfc7aa3.jpeg","View")</f>
        <v>View</v>
      </c>
    </row>
    <row r="1699" spans="1:21" ht="30.6">
      <c r="A1699" s="6">
        <v>43440.977939814809</v>
      </c>
      <c r="B1699" s="7" t="str">
        <f>HYPERLINK("https://twitter.com/Pedro_Castro","@Pedro_Castro")</f>
        <v>@Pedro_Castro</v>
      </c>
      <c r="C1699" s="8" t="s">
        <v>140</v>
      </c>
      <c r="D1699" s="9" t="s">
        <v>4198</v>
      </c>
      <c r="E1699" s="10" t="str">
        <f>HYPERLINK("https://twitter.com/Pedro_Castro/status/1070807151092862976","1070807151092862976")</f>
        <v>1070807151092862976</v>
      </c>
      <c r="F1699" s="11" t="s">
        <v>3534</v>
      </c>
      <c r="G1699" s="12"/>
      <c r="H1699" s="12"/>
      <c r="I1699" s="13">
        <v>0</v>
      </c>
      <c r="J1699" s="13">
        <v>0</v>
      </c>
      <c r="K1699" s="14" t="str">
        <f>HYPERLINK("http://twitter.com","Twitter Web Client")</f>
        <v>Twitter Web Client</v>
      </c>
      <c r="L1699" s="13">
        <v>12369</v>
      </c>
      <c r="M1699" s="13">
        <v>5931</v>
      </c>
      <c r="N1699" s="13">
        <v>412</v>
      </c>
      <c r="O1699" s="15"/>
      <c r="P1699" s="6">
        <v>39811.502395833333</v>
      </c>
      <c r="Q1699" s="16" t="s">
        <v>144</v>
      </c>
      <c r="R1699" s="17" t="s">
        <v>145</v>
      </c>
      <c r="S1699" s="11" t="s">
        <v>146</v>
      </c>
      <c r="T1699" s="12"/>
      <c r="U1699" s="10" t="str">
        <f>HYPERLINK("https://pbs.twimg.com/profile_images/1423190616/203177_1104736911_528524_n2.jpg","View")</f>
        <v>View</v>
      </c>
    </row>
    <row r="1700" spans="1:21" ht="30.6">
      <c r="A1700" s="6">
        <v>43440.9768287037</v>
      </c>
      <c r="B1700" s="7" t="str">
        <f>HYPERLINK("https://twitter.com/pressdigital","@pressdigital")</f>
        <v>@pressdigital</v>
      </c>
      <c r="C1700" s="8" t="s">
        <v>1446</v>
      </c>
      <c r="D1700" s="9" t="s">
        <v>5965</v>
      </c>
      <c r="E1700" s="10" t="str">
        <f>HYPERLINK("https://twitter.com/pressdigital/status/1070806752139075586","1070806752139075586")</f>
        <v>1070806752139075586</v>
      </c>
      <c r="F1700" s="11" t="s">
        <v>5966</v>
      </c>
      <c r="G1700" s="12"/>
      <c r="H1700" s="12"/>
      <c r="I1700" s="13">
        <v>0</v>
      </c>
      <c r="J1700" s="13">
        <v>0</v>
      </c>
      <c r="K1700" s="14" t="str">
        <f>HYPERLINK("https://ifttt.com","IFTTT")</f>
        <v>IFTTT</v>
      </c>
      <c r="L1700" s="13">
        <v>1212</v>
      </c>
      <c r="M1700" s="13">
        <v>1127</v>
      </c>
      <c r="N1700" s="13">
        <v>73</v>
      </c>
      <c r="O1700" s="15"/>
      <c r="P1700" s="6">
        <v>40142.836041666669</v>
      </c>
      <c r="Q1700" s="16" t="s">
        <v>60</v>
      </c>
      <c r="R1700" s="17" t="s">
        <v>1448</v>
      </c>
      <c r="S1700" s="11" t="s">
        <v>1449</v>
      </c>
      <c r="T1700" s="12"/>
      <c r="U1700" s="10" t="str">
        <f>HYPERLINK("https://pbs.twimg.com/profile_images/686495616231444480/68bUHQ6J.jpg","View")</f>
        <v>View</v>
      </c>
    </row>
    <row r="1701" spans="1:21" ht="30.6">
      <c r="A1701" s="6">
        <v>43440.976354166662</v>
      </c>
      <c r="B1701" s="7" t="str">
        <f>HYPERLINK("https://twitter.com/LVetrinbajo","@LVetrinbajo")</f>
        <v>@LVetrinbajo</v>
      </c>
      <c r="C1701" s="8" t="s">
        <v>5154</v>
      </c>
      <c r="D1701" s="9" t="s">
        <v>5967</v>
      </c>
      <c r="E1701" s="10" t="str">
        <f>HYPERLINK("https://twitter.com/LVetrinbajo/status/1070806576540368896","1070806576540368896")</f>
        <v>1070806576540368896</v>
      </c>
      <c r="F1701" s="11" t="s">
        <v>467</v>
      </c>
      <c r="G1701" s="12"/>
      <c r="H1701" s="12"/>
      <c r="I1701" s="13">
        <v>1</v>
      </c>
      <c r="J1701" s="13">
        <v>1</v>
      </c>
      <c r="K1701" s="14" t="str">
        <f t="shared" ref="K1701:K1702" si="298">HYPERLINK("http://twitter.com/download/iphone","Twitter for iPhone")</f>
        <v>Twitter for iPhone</v>
      </c>
      <c r="L1701" s="13">
        <v>875</v>
      </c>
      <c r="M1701" s="13">
        <v>1945</v>
      </c>
      <c r="N1701" s="13">
        <v>7</v>
      </c>
      <c r="O1701" s="15"/>
      <c r="P1701" s="6">
        <v>43091.966851851852</v>
      </c>
      <c r="Q1701" s="16" t="s">
        <v>2966</v>
      </c>
      <c r="R1701" s="17" t="s">
        <v>5157</v>
      </c>
      <c r="S1701" s="12"/>
      <c r="T1701" s="12"/>
      <c r="U1701" s="10" t="str">
        <f>HYPERLINK("https://pbs.twimg.com/profile_images/1002927443542528001/Ye4GwF3U.jpg","View")</f>
        <v>View</v>
      </c>
    </row>
    <row r="1702" spans="1:21" ht="112.2">
      <c r="A1702" s="6">
        <v>43440.975763888884</v>
      </c>
      <c r="B1702" s="7" t="str">
        <f>HYPERLINK("https://twitter.com/GuilleGarabito","@GuilleGarabito")</f>
        <v>@GuilleGarabito</v>
      </c>
      <c r="C1702" s="8" t="s">
        <v>5969</v>
      </c>
      <c r="D1702" s="9" t="s">
        <v>5970</v>
      </c>
      <c r="E1702" s="10" t="str">
        <f>HYPERLINK("https://twitter.com/GuilleGarabito/status/1070806363662626816","1070806363662626816")</f>
        <v>1070806363662626816</v>
      </c>
      <c r="F1702" s="11" t="s">
        <v>54</v>
      </c>
      <c r="G1702" s="11" t="s">
        <v>55</v>
      </c>
      <c r="H1702" s="12"/>
      <c r="I1702" s="13">
        <v>0</v>
      </c>
      <c r="J1702" s="13">
        <v>3</v>
      </c>
      <c r="K1702" s="14" t="str">
        <f t="shared" si="298"/>
        <v>Twitter for iPhone</v>
      </c>
      <c r="L1702" s="13">
        <v>1282</v>
      </c>
      <c r="M1702" s="13">
        <v>504</v>
      </c>
      <c r="N1702" s="13">
        <v>20</v>
      </c>
      <c r="O1702" s="15"/>
      <c r="P1702" s="6">
        <v>40049.46738425926</v>
      </c>
      <c r="Q1702" s="12"/>
      <c r="R1702" s="17" t="s">
        <v>5971</v>
      </c>
      <c r="S1702" s="12"/>
      <c r="T1702" s="12"/>
      <c r="U1702" s="10" t="str">
        <f>HYPERLINK("https://pbs.twimg.com/profile_images/710596122067255296/KPrBhd5H.jpg","View")</f>
        <v>View</v>
      </c>
    </row>
    <row r="1703" spans="1:21" ht="40.799999999999997">
      <c r="A1703" s="6">
        <v>43440.975763888884</v>
      </c>
      <c r="B1703" s="7" t="str">
        <f>HYPERLINK("https://twitter.com/lextresabogados","@lextresabogados")</f>
        <v>@lextresabogados</v>
      </c>
      <c r="C1703" s="8" t="s">
        <v>226</v>
      </c>
      <c r="D1703" s="9" t="s">
        <v>5972</v>
      </c>
      <c r="E1703" s="10" t="str">
        <f>HYPERLINK("https://twitter.com/lextresabogados/status/1070806363612295168","1070806363612295168")</f>
        <v>1070806363612295168</v>
      </c>
      <c r="F1703" s="11" t="s">
        <v>5973</v>
      </c>
      <c r="G1703" s="12"/>
      <c r="H1703" s="12"/>
      <c r="I1703" s="13">
        <v>1</v>
      </c>
      <c r="J1703" s="13">
        <v>0</v>
      </c>
      <c r="K1703" s="14" t="str">
        <f>HYPERLINK("http://35.180.36.179","botize nueva")</f>
        <v>botize nueva</v>
      </c>
      <c r="L1703" s="13">
        <v>2912</v>
      </c>
      <c r="M1703" s="13">
        <v>3525</v>
      </c>
      <c r="N1703" s="13">
        <v>26</v>
      </c>
      <c r="O1703" s="15"/>
      <c r="P1703" s="6">
        <v>42880.770949074074</v>
      </c>
      <c r="Q1703" s="16" t="s">
        <v>230</v>
      </c>
      <c r="R1703" s="17" t="s">
        <v>231</v>
      </c>
      <c r="S1703" s="11" t="s">
        <v>232</v>
      </c>
      <c r="T1703" s="12"/>
      <c r="U1703" s="10" t="str">
        <f>HYPERLINK("https://pbs.twimg.com/profile_images/1068056978679898113/YnjKwiVy.jpg","View")</f>
        <v>View</v>
      </c>
    </row>
    <row r="1704" spans="1:21" ht="40.799999999999997">
      <c r="A1704" s="6">
        <v>43440.975740740745</v>
      </c>
      <c r="B1704" s="7" t="str">
        <f>HYPERLINK("https://twitter.com/Eskol_The_Wolf","@Eskol_The_Wolf")</f>
        <v>@Eskol_The_Wolf</v>
      </c>
      <c r="C1704" s="8" t="s">
        <v>5974</v>
      </c>
      <c r="D1704" s="9" t="s">
        <v>5975</v>
      </c>
      <c r="E1704" s="10" t="str">
        <f>HYPERLINK("https://twitter.com/Eskol_The_Wolf/status/1070806354925944832","1070806354925944832")</f>
        <v>1070806354925944832</v>
      </c>
      <c r="F1704" s="12"/>
      <c r="G1704" s="12"/>
      <c r="H1704" s="12"/>
      <c r="I1704" s="13">
        <v>0</v>
      </c>
      <c r="J1704" s="13">
        <v>0</v>
      </c>
      <c r="K1704" s="14" t="str">
        <f t="shared" ref="K1704:K1706" si="299">HYPERLINK("http://twitter.com/download/android","Twitter for Android")</f>
        <v>Twitter for Android</v>
      </c>
      <c r="L1704" s="13">
        <v>286</v>
      </c>
      <c r="M1704" s="13">
        <v>414</v>
      </c>
      <c r="N1704" s="13">
        <v>6</v>
      </c>
      <c r="O1704" s="15"/>
      <c r="P1704" s="6">
        <v>41414.925509259258</v>
      </c>
      <c r="Q1704" s="16" t="s">
        <v>5976</v>
      </c>
      <c r="R1704" s="17" t="s">
        <v>5977</v>
      </c>
      <c r="S1704" s="12"/>
      <c r="T1704" s="12"/>
      <c r="U1704" s="10" t="str">
        <f>HYPERLINK("https://pbs.twimg.com/profile_images/966732186962595841/hUjcO1Hu.jpg","View")</f>
        <v>View</v>
      </c>
    </row>
    <row r="1705" spans="1:21" ht="40.799999999999997">
      <c r="A1705" s="6">
        <v>43440.974606481483</v>
      </c>
      <c r="B1705" s="7" t="str">
        <f>HYPERLINK("https://twitter.com/RanaTabarnia","@RanaTabarnia")</f>
        <v>@RanaTabarnia</v>
      </c>
      <c r="C1705" s="8" t="s">
        <v>395</v>
      </c>
      <c r="D1705" s="9" t="s">
        <v>5978</v>
      </c>
      <c r="E1705" s="10" t="str">
        <f>HYPERLINK("https://twitter.com/RanaTabarnia/status/1070805946375524352","1070805946375524352")</f>
        <v>1070805946375524352</v>
      </c>
      <c r="F1705" s="11" t="s">
        <v>2331</v>
      </c>
      <c r="G1705" s="12"/>
      <c r="H1705" s="12"/>
      <c r="I1705" s="13">
        <v>0</v>
      </c>
      <c r="J1705" s="13">
        <v>0</v>
      </c>
      <c r="K1705" s="14" t="str">
        <f t="shared" si="299"/>
        <v>Twitter for Android</v>
      </c>
      <c r="L1705" s="13">
        <v>168</v>
      </c>
      <c r="M1705" s="13">
        <v>143</v>
      </c>
      <c r="N1705" s="13">
        <v>0</v>
      </c>
      <c r="O1705" s="15"/>
      <c r="P1705" s="6">
        <v>43286.761712962965</v>
      </c>
      <c r="Q1705" s="12"/>
      <c r="R1705" s="19"/>
      <c r="S1705" s="12"/>
      <c r="T1705" s="12"/>
      <c r="U1705" s="10" t="str">
        <f>HYPERLINK("https://pbs.twimg.com/profile_images/1021799925858922497/y6n6WhI-.jpg","View")</f>
        <v>View</v>
      </c>
    </row>
    <row r="1706" spans="1:21" ht="51">
      <c r="A1706" s="6">
        <v>43440.972349537042</v>
      </c>
      <c r="B1706" s="7" t="str">
        <f>HYPERLINK("https://twitter.com/JoseLuisdelRio9","@JoseLuisdelRio9")</f>
        <v>@JoseLuisdelRio9</v>
      </c>
      <c r="C1706" s="8" t="s">
        <v>2967</v>
      </c>
      <c r="D1706" s="9" t="s">
        <v>5979</v>
      </c>
      <c r="E1706" s="10" t="str">
        <f>HYPERLINK("https://twitter.com/JoseLuisdelRio9/status/1070805127295102976","1070805127295102976")</f>
        <v>1070805127295102976</v>
      </c>
      <c r="F1706" s="16" t="s">
        <v>2698</v>
      </c>
      <c r="G1706" s="12"/>
      <c r="H1706" s="12"/>
      <c r="I1706" s="13">
        <v>0</v>
      </c>
      <c r="J1706" s="13">
        <v>1</v>
      </c>
      <c r="K1706" s="14" t="str">
        <f t="shared" si="299"/>
        <v>Twitter for Android</v>
      </c>
      <c r="L1706" s="13">
        <v>1806</v>
      </c>
      <c r="M1706" s="13">
        <v>2598</v>
      </c>
      <c r="N1706" s="13">
        <v>11</v>
      </c>
      <c r="O1706" s="15"/>
      <c r="P1706" s="6">
        <v>41780.701782407406</v>
      </c>
      <c r="Q1706" s="12"/>
      <c r="R1706" s="19"/>
      <c r="S1706" s="12"/>
      <c r="T1706" s="12"/>
      <c r="U1706" s="10" t="str">
        <f>HYPERLINK("https://pbs.twimg.com/profile_images/774235564761616384/v8tceDLo.jpg","View")</f>
        <v>View</v>
      </c>
    </row>
    <row r="1707" spans="1:21" ht="40.799999999999997">
      <c r="A1707" s="6">
        <v>43440.972233796296</v>
      </c>
      <c r="B1707" s="7" t="str">
        <f>HYPERLINK("https://twitter.com/El_Intermedio","@El_Intermedio")</f>
        <v>@El_Intermedio</v>
      </c>
      <c r="C1707" s="8" t="s">
        <v>1595</v>
      </c>
      <c r="D1707" s="9" t="s">
        <v>5980</v>
      </c>
      <c r="E1707" s="10" t="str">
        <f>HYPERLINK("https://twitter.com/El_Intermedio/status/1070805083221307392","1070805083221307392")</f>
        <v>1070805083221307392</v>
      </c>
      <c r="F1707" s="11" t="s">
        <v>5981</v>
      </c>
      <c r="G1707" s="12"/>
      <c r="H1707" s="12"/>
      <c r="I1707" s="13">
        <v>4</v>
      </c>
      <c r="J1707" s="13">
        <v>24</v>
      </c>
      <c r="K1707" s="14" t="str">
        <f>HYPERLINK("http://dogtrack.es","DogTrack_Oficial")</f>
        <v>DogTrack_Oficial</v>
      </c>
      <c r="L1707" s="13">
        <v>1011587</v>
      </c>
      <c r="M1707" s="13">
        <v>1770</v>
      </c>
      <c r="N1707" s="13">
        <v>4854</v>
      </c>
      <c r="O1707" s="18" t="s">
        <v>41</v>
      </c>
      <c r="P1707" s="6">
        <v>39692.485879629632</v>
      </c>
      <c r="Q1707" s="16" t="s">
        <v>60</v>
      </c>
      <c r="R1707" s="17" t="s">
        <v>1598</v>
      </c>
      <c r="S1707" s="11" t="s">
        <v>1599</v>
      </c>
      <c r="T1707" s="12"/>
      <c r="U1707" s="10" t="str">
        <f>HYPERLINK("https://pbs.twimg.com/profile_images/1037049026523348992/kW9y-kbu.jpg","View")</f>
        <v>View</v>
      </c>
    </row>
    <row r="1708" spans="1:21" ht="40.799999999999997">
      <c r="A1708" s="6">
        <v>43440.970833333333</v>
      </c>
      <c r="B1708" s="7" t="str">
        <f>HYPERLINK("https://twitter.com/JoseLui56432410","@JoseLui56432410")</f>
        <v>@JoseLui56432410</v>
      </c>
      <c r="C1708" s="8" t="s">
        <v>5982</v>
      </c>
      <c r="D1708" s="9" t="s">
        <v>5983</v>
      </c>
      <c r="E1708" s="10" t="str">
        <f>HYPERLINK("https://twitter.com/JoseLui56432410/status/1070804578860449794","1070804578860449794")</f>
        <v>1070804578860449794</v>
      </c>
      <c r="F1708" s="11" t="s">
        <v>5984</v>
      </c>
      <c r="G1708" s="12"/>
      <c r="H1708" s="12"/>
      <c r="I1708" s="13">
        <v>0</v>
      </c>
      <c r="J1708" s="13">
        <v>0</v>
      </c>
      <c r="K1708" s="14" t="str">
        <f>HYPERLINK("http://www.facebook.com/twitter","Facebook")</f>
        <v>Facebook</v>
      </c>
      <c r="L1708" s="13">
        <v>386</v>
      </c>
      <c r="M1708" s="13">
        <v>405</v>
      </c>
      <c r="N1708" s="13">
        <v>14</v>
      </c>
      <c r="O1708" s="15"/>
      <c r="P1708" s="6">
        <v>41046.983993055554</v>
      </c>
      <c r="Q1708" s="16" t="s">
        <v>200</v>
      </c>
      <c r="R1708" s="17" t="s">
        <v>5985</v>
      </c>
      <c r="S1708" s="12"/>
      <c r="T1708" s="12"/>
      <c r="U1708" s="10" t="str">
        <f>HYPERLINK("https://pbs.twimg.com/profile_images/1000422001398427648/dVAfcPvy.jpg","View")</f>
        <v>View</v>
      </c>
    </row>
    <row r="1709" spans="1:21" ht="20.399999999999999">
      <c r="A1709" s="6">
        <v>43440.969710648147</v>
      </c>
      <c r="B1709" s="7" t="str">
        <f>HYPERLINK("https://twitter.com/jlxerrano","@jlxerrano")</f>
        <v>@jlxerrano</v>
      </c>
      <c r="C1709" s="8" t="s">
        <v>5986</v>
      </c>
      <c r="D1709" s="9" t="s">
        <v>5987</v>
      </c>
      <c r="E1709" s="10" t="str">
        <f>HYPERLINK("https://twitter.com/jlxerrano/status/1070804171752988673","1070804171752988673")</f>
        <v>1070804171752988673</v>
      </c>
      <c r="F1709" s="11" t="s">
        <v>5988</v>
      </c>
      <c r="G1709" s="12"/>
      <c r="H1709" s="12"/>
      <c r="I1709" s="13">
        <v>0</v>
      </c>
      <c r="J1709" s="13">
        <v>0</v>
      </c>
      <c r="K1709" s="14" t="str">
        <f>HYPERLINK("http://twitter.com/download/iphone","Twitter for iPhone")</f>
        <v>Twitter for iPhone</v>
      </c>
      <c r="L1709" s="13">
        <v>230</v>
      </c>
      <c r="M1709" s="13">
        <v>368</v>
      </c>
      <c r="N1709" s="13">
        <v>1</v>
      </c>
      <c r="O1709" s="15"/>
      <c r="P1709" s="6">
        <v>42840.768831018519</v>
      </c>
      <c r="Q1709" s="16" t="s">
        <v>5989</v>
      </c>
      <c r="R1709" s="17" t="s">
        <v>5990</v>
      </c>
      <c r="S1709" s="12"/>
      <c r="T1709" s="12"/>
      <c r="U1709" s="10" t="str">
        <f>HYPERLINK("https://pbs.twimg.com/profile_images/1035527255215099905/2USJVAFA.jpg","View")</f>
        <v>View</v>
      </c>
    </row>
    <row r="1710" spans="1:21" ht="30.6">
      <c r="A1710" s="6">
        <v>43440.969583333332</v>
      </c>
      <c r="B1710" s="7" t="str">
        <f>HYPERLINK("https://twitter.com/SinTrincheras","@SinTrincheras")</f>
        <v>@SinTrincheras</v>
      </c>
      <c r="C1710" s="8" t="s">
        <v>5991</v>
      </c>
      <c r="D1710" s="9" t="s">
        <v>5992</v>
      </c>
      <c r="E1710" s="10" t="str">
        <f>HYPERLINK("https://twitter.com/SinTrincheras/status/1070804122444722176","1070804122444722176")</f>
        <v>1070804122444722176</v>
      </c>
      <c r="F1710" s="11" t="s">
        <v>5993</v>
      </c>
      <c r="G1710" s="12"/>
      <c r="H1710" s="12"/>
      <c r="I1710" s="13">
        <v>0</v>
      </c>
      <c r="J1710" s="13">
        <v>0</v>
      </c>
      <c r="K1710" s="14" t="str">
        <f>HYPERLINK("http://instagram.com","Instagram")</f>
        <v>Instagram</v>
      </c>
      <c r="L1710" s="13">
        <v>73</v>
      </c>
      <c r="M1710" s="13">
        <v>360</v>
      </c>
      <c r="N1710" s="13">
        <v>1</v>
      </c>
      <c r="O1710" s="15"/>
      <c r="P1710" s="6">
        <v>42525.489027777774</v>
      </c>
      <c r="Q1710" s="12"/>
      <c r="R1710" s="17" t="s">
        <v>5994</v>
      </c>
      <c r="S1710" s="11" t="s">
        <v>5995</v>
      </c>
      <c r="T1710" s="12"/>
      <c r="U1710" s="10" t="str">
        <f>HYPERLINK("https://pbs.twimg.com/profile_images/749232432801546240/lVxb0lTP.jpg","View")</f>
        <v>View</v>
      </c>
    </row>
    <row r="1711" spans="1:21" ht="30.6">
      <c r="A1711" s="6">
        <v>43440.968680555554</v>
      </c>
      <c r="B1711" s="7" t="str">
        <f>HYPERLINK("https://twitter.com/LaVanguardia","@LaVanguardia")</f>
        <v>@LaVanguardia</v>
      </c>
      <c r="C1711" s="8" t="s">
        <v>297</v>
      </c>
      <c r="D1711" s="9" t="s">
        <v>5972</v>
      </c>
      <c r="E1711" s="10" t="str">
        <f>HYPERLINK("https://twitter.com/LaVanguardia/status/1070803797969158155","1070803797969158155")</f>
        <v>1070803797969158155</v>
      </c>
      <c r="F1711" s="11" t="s">
        <v>5973</v>
      </c>
      <c r="G1711" s="12"/>
      <c r="H1711" s="12"/>
      <c r="I1711" s="13">
        <v>5</v>
      </c>
      <c r="J1711" s="13">
        <v>8</v>
      </c>
      <c r="K1711" s="14" t="str">
        <f>HYPERLINK("http://www.lavanguardia.es","App publicación twits DGRID")</f>
        <v>App publicación twits DGRID</v>
      </c>
      <c r="L1711" s="13">
        <v>999506</v>
      </c>
      <c r="M1711" s="13">
        <v>524</v>
      </c>
      <c r="N1711" s="13">
        <v>12587</v>
      </c>
      <c r="O1711" s="18" t="s">
        <v>41</v>
      </c>
      <c r="P1711" s="6">
        <v>40071.664548611108</v>
      </c>
      <c r="Q1711" s="16" t="s">
        <v>85</v>
      </c>
      <c r="R1711" s="17" t="s">
        <v>301</v>
      </c>
      <c r="S1711" s="11" t="s">
        <v>304</v>
      </c>
      <c r="T1711" s="12"/>
      <c r="U1711" s="10" t="str">
        <f>HYPERLINK("https://pbs.twimg.com/profile_images/936873783721320448/6Q97S0pp.jpg","View")</f>
        <v>View</v>
      </c>
    </row>
    <row r="1712" spans="1:21" ht="40.799999999999997">
      <c r="A1712" s="6">
        <v>43440.968310185184</v>
      </c>
      <c r="B1712" s="7" t="str">
        <f>HYPERLINK("https://twitter.com/gabrielariasr","@gabrielariasr")</f>
        <v>@gabrielariasr</v>
      </c>
      <c r="C1712" s="8" t="s">
        <v>5996</v>
      </c>
      <c r="D1712" s="9" t="s">
        <v>5997</v>
      </c>
      <c r="E1712" s="10" t="str">
        <f>HYPERLINK("https://twitter.com/gabrielariasr/status/1070803661029326850","1070803661029326850")</f>
        <v>1070803661029326850</v>
      </c>
      <c r="F1712" s="12"/>
      <c r="G1712" s="12"/>
      <c r="H1712" s="12"/>
      <c r="I1712" s="13">
        <v>0</v>
      </c>
      <c r="J1712" s="13">
        <v>1</v>
      </c>
      <c r="K1712" s="14" t="str">
        <f>HYPERLINK("http://twitter.com","Twitter Web Client")</f>
        <v>Twitter Web Client</v>
      </c>
      <c r="L1712" s="13">
        <v>581</v>
      </c>
      <c r="M1712" s="13">
        <v>841</v>
      </c>
      <c r="N1712" s="13">
        <v>9</v>
      </c>
      <c r="O1712" s="15"/>
      <c r="P1712" s="6">
        <v>40619.788460648146</v>
      </c>
      <c r="Q1712" s="16" t="s">
        <v>5998</v>
      </c>
      <c r="R1712" s="17" t="s">
        <v>5999</v>
      </c>
      <c r="S1712" s="11" t="s">
        <v>6000</v>
      </c>
      <c r="T1712" s="12"/>
      <c r="U1712" s="10" t="str">
        <f>HYPERLINK("https://pbs.twimg.com/profile_images/984219639373815808/Vw8yaIXT.jpg","View")</f>
        <v>View</v>
      </c>
    </row>
    <row r="1713" spans="1:21" ht="30.6">
      <c r="A1713" s="6">
        <v>43440.967974537038</v>
      </c>
      <c r="B1713" s="7" t="str">
        <f>HYPERLINK("https://twitter.com/AThable","@AThable")</f>
        <v>@AThable</v>
      </c>
      <c r="C1713" s="8" t="s">
        <v>308</v>
      </c>
      <c r="D1713" s="9" t="s">
        <v>6001</v>
      </c>
      <c r="E1713" s="10" t="str">
        <f>HYPERLINK("https://twitter.com/AThable/status/1070803542947102720","1070803542947102720")</f>
        <v>1070803542947102720</v>
      </c>
      <c r="F1713" s="11" t="s">
        <v>467</v>
      </c>
      <c r="G1713" s="12"/>
      <c r="H1713" s="12"/>
      <c r="I1713" s="13">
        <v>0</v>
      </c>
      <c r="J1713" s="13">
        <v>0</v>
      </c>
      <c r="K1713" s="14" t="str">
        <f t="shared" ref="K1713:K1714" si="300">HYPERLINK("http://twitter.com/download/android","Twitter for Android")</f>
        <v>Twitter for Android</v>
      </c>
      <c r="L1713" s="13">
        <v>135</v>
      </c>
      <c r="M1713" s="13">
        <v>254</v>
      </c>
      <c r="N1713" s="13">
        <v>4</v>
      </c>
      <c r="O1713" s="15"/>
      <c r="P1713" s="6">
        <v>41734.528715277775</v>
      </c>
      <c r="Q1713" s="12"/>
      <c r="R1713" s="19"/>
      <c r="S1713" s="12"/>
      <c r="T1713" s="12"/>
      <c r="U1713" s="10" t="str">
        <f>HYPERLINK("https://pbs.twimg.com/profile_images/452396308738105344/uAoxhinN.jpeg","View")</f>
        <v>View</v>
      </c>
    </row>
    <row r="1714" spans="1:21" ht="40.799999999999997">
      <c r="A1714" s="6">
        <v>43440.967766203699</v>
      </c>
      <c r="B1714" s="7" t="str">
        <f>HYPERLINK("https://twitter.com/GimenoCabus","@GimenoCabus")</f>
        <v>@GimenoCabus</v>
      </c>
      <c r="C1714" s="8" t="s">
        <v>6002</v>
      </c>
      <c r="D1714" s="9" t="s">
        <v>6003</v>
      </c>
      <c r="E1714" s="10" t="str">
        <f>HYPERLINK("https://twitter.com/GimenoCabus/status/1070803466866622465","1070803466866622465")</f>
        <v>1070803466866622465</v>
      </c>
      <c r="F1714" s="11" t="s">
        <v>2214</v>
      </c>
      <c r="G1714" s="12"/>
      <c r="H1714" s="12"/>
      <c r="I1714" s="13">
        <v>0</v>
      </c>
      <c r="J1714" s="13">
        <v>0</v>
      </c>
      <c r="K1714" s="14" t="str">
        <f t="shared" si="300"/>
        <v>Twitter for Android</v>
      </c>
      <c r="L1714" s="13">
        <v>101</v>
      </c>
      <c r="M1714" s="13">
        <v>156</v>
      </c>
      <c r="N1714" s="13">
        <v>1</v>
      </c>
      <c r="O1714" s="15"/>
      <c r="P1714" s="6">
        <v>42728.866388888884</v>
      </c>
      <c r="Q1714" s="12"/>
      <c r="R1714" s="17" t="s">
        <v>6004</v>
      </c>
      <c r="S1714" s="12"/>
      <c r="T1714" s="12"/>
      <c r="U1714" s="10" t="str">
        <f>HYPERLINK("https://pbs.twimg.com/profile_images/813440388992208896/njpstlX9.jpg","View")</f>
        <v>View</v>
      </c>
    </row>
    <row r="1715" spans="1:21" ht="20.399999999999999">
      <c r="A1715" s="6">
        <v>43440.967534722222</v>
      </c>
      <c r="B1715" s="7" t="str">
        <f>HYPERLINK("https://twitter.com/numer344","@numer344")</f>
        <v>@numer344</v>
      </c>
      <c r="C1715" s="8" t="s">
        <v>1156</v>
      </c>
      <c r="D1715" s="9" t="s">
        <v>6005</v>
      </c>
      <c r="E1715" s="10" t="str">
        <f>HYPERLINK("https://twitter.com/numer344/status/1070803382670114816","1070803382670114816")</f>
        <v>1070803382670114816</v>
      </c>
      <c r="F1715" s="12"/>
      <c r="G1715" s="12"/>
      <c r="H1715" s="12"/>
      <c r="I1715" s="13">
        <v>1890</v>
      </c>
      <c r="J1715" s="13">
        <v>4510</v>
      </c>
      <c r="K1715" s="14" t="str">
        <f>HYPERLINK("http://twitter.com","Twitter Web Client")</f>
        <v>Twitter Web Client</v>
      </c>
      <c r="L1715" s="13">
        <v>48341</v>
      </c>
      <c r="M1715" s="13">
        <v>19004</v>
      </c>
      <c r="N1715" s="13">
        <v>210</v>
      </c>
      <c r="O1715" s="15"/>
      <c r="P1715" s="6">
        <v>42913.944537037038</v>
      </c>
      <c r="Q1715" s="12"/>
      <c r="R1715" s="19"/>
      <c r="S1715" s="12"/>
      <c r="T1715" s="12"/>
      <c r="U1715" s="10" t="str">
        <f>HYPERLINK("https://pbs.twimg.com/profile_images/880028261270638592/VqXmYtU3.jpg","View")</f>
        <v>View</v>
      </c>
    </row>
    <row r="1716" spans="1:21" ht="51">
      <c r="A1716" s="6">
        <v>43440.967037037037</v>
      </c>
      <c r="B1716" s="7" t="str">
        <f>HYPERLINK("https://twitter.com/mmmbango","@mmmbango")</f>
        <v>@mmmbango</v>
      </c>
      <c r="C1716" s="8" t="s">
        <v>921</v>
      </c>
      <c r="D1716" s="9" t="s">
        <v>6006</v>
      </c>
      <c r="E1716" s="10" t="str">
        <f>HYPERLINK("https://twitter.com/mmmbango/status/1070803203497844743","1070803203497844743")</f>
        <v>1070803203497844743</v>
      </c>
      <c r="F1716" s="11" t="s">
        <v>467</v>
      </c>
      <c r="G1716" s="12"/>
      <c r="H1716" s="12"/>
      <c r="I1716" s="13">
        <v>0</v>
      </c>
      <c r="J1716" s="13">
        <v>2</v>
      </c>
      <c r="K1716" s="14" t="str">
        <f t="shared" ref="K1716:K1720" si="301">HYPERLINK("http://twitter.com/download/android","Twitter for Android")</f>
        <v>Twitter for Android</v>
      </c>
      <c r="L1716" s="13">
        <v>6691</v>
      </c>
      <c r="M1716" s="13">
        <v>4488</v>
      </c>
      <c r="N1716" s="13">
        <v>69</v>
      </c>
      <c r="O1716" s="15"/>
      <c r="P1716" s="6">
        <v>41521.720983796295</v>
      </c>
      <c r="Q1716" s="16" t="s">
        <v>924</v>
      </c>
      <c r="R1716" s="17" t="s">
        <v>925</v>
      </c>
      <c r="S1716" s="11" t="s">
        <v>926</v>
      </c>
      <c r="T1716" s="12"/>
      <c r="U1716" s="10" t="str">
        <f>HYPERLINK("https://pbs.twimg.com/profile_images/855523465796964352/PuP44M-h.jpg","View")</f>
        <v>View</v>
      </c>
    </row>
    <row r="1717" spans="1:21" ht="20.399999999999999">
      <c r="A1717" s="6">
        <v>43440.966631944444</v>
      </c>
      <c r="B1717" s="7" t="str">
        <f>HYPERLINK("https://twitter.com/LuisAlb87688384","@LuisAlb87688384")</f>
        <v>@LuisAlb87688384</v>
      </c>
      <c r="C1717" s="8" t="s">
        <v>6007</v>
      </c>
      <c r="D1717" s="9" t="s">
        <v>6008</v>
      </c>
      <c r="E1717" s="10" t="str">
        <f>HYPERLINK("https://twitter.com/LuisAlb87688384/status/1070803054759473152","1070803054759473152")</f>
        <v>1070803054759473152</v>
      </c>
      <c r="F1717" s="11" t="s">
        <v>467</v>
      </c>
      <c r="G1717" s="12"/>
      <c r="H1717" s="12"/>
      <c r="I1717" s="13">
        <v>0</v>
      </c>
      <c r="J1717" s="13">
        <v>0</v>
      </c>
      <c r="K1717" s="14" t="str">
        <f t="shared" si="301"/>
        <v>Twitter for Android</v>
      </c>
      <c r="L1717" s="13">
        <v>55</v>
      </c>
      <c r="M1717" s="13">
        <v>67</v>
      </c>
      <c r="N1717" s="13">
        <v>0</v>
      </c>
      <c r="O1717" s="15"/>
      <c r="P1717" s="6">
        <v>42641.939305555556</v>
      </c>
      <c r="Q1717" s="12"/>
      <c r="R1717" s="17" t="s">
        <v>6011</v>
      </c>
      <c r="S1717" s="12"/>
      <c r="T1717" s="12"/>
      <c r="U1717" s="10" t="str">
        <f>HYPERLINK("https://pbs.twimg.com/profile_images/934800927193780225/pAs7j9sw.jpg","View")</f>
        <v>View</v>
      </c>
    </row>
    <row r="1718" spans="1:21" ht="30.6">
      <c r="A1718" s="6">
        <v>43440.966168981482</v>
      </c>
      <c r="B1718" s="7" t="str">
        <f>HYPERLINK("https://twitter.com/javierdelamuela","@javierdelamuela")</f>
        <v>@javierdelamuela</v>
      </c>
      <c r="C1718" s="8" t="s">
        <v>6012</v>
      </c>
      <c r="D1718" s="9" t="s">
        <v>1514</v>
      </c>
      <c r="E1718" s="10" t="str">
        <f>HYPERLINK("https://twitter.com/javierdelamuela/status/1070802888547540993","1070802888547540993")</f>
        <v>1070802888547540993</v>
      </c>
      <c r="F1718" s="11" t="s">
        <v>246</v>
      </c>
      <c r="G1718" s="12"/>
      <c r="H1718" s="12"/>
      <c r="I1718" s="13">
        <v>5</v>
      </c>
      <c r="J1718" s="13">
        <v>9</v>
      </c>
      <c r="K1718" s="14" t="str">
        <f t="shared" si="301"/>
        <v>Twitter for Android</v>
      </c>
      <c r="L1718" s="13">
        <v>88</v>
      </c>
      <c r="M1718" s="13">
        <v>332</v>
      </c>
      <c r="N1718" s="13">
        <v>1</v>
      </c>
      <c r="O1718" s="15"/>
      <c r="P1718" s="6">
        <v>40962.905150462961</v>
      </c>
      <c r="Q1718" s="16" t="s">
        <v>6014</v>
      </c>
      <c r="R1718" s="17" t="s">
        <v>6015</v>
      </c>
      <c r="S1718" s="11" t="s">
        <v>6016</v>
      </c>
      <c r="T1718" s="12"/>
      <c r="U1718" s="10" t="str">
        <f>HYPERLINK("https://pbs.twimg.com/profile_images/807663672696905731/p1NIfNfw.jpg","View")</f>
        <v>View</v>
      </c>
    </row>
    <row r="1719" spans="1:21" ht="40.799999999999997">
      <c r="A1719" s="6">
        <v>43440.965231481481</v>
      </c>
      <c r="B1719" s="7" t="str">
        <f>HYPERLINK("https://twitter.com/psolidaridad","@psolidaridad")</f>
        <v>@psolidaridad</v>
      </c>
      <c r="C1719" s="8" t="s">
        <v>6017</v>
      </c>
      <c r="D1719" s="9" t="s">
        <v>6018</v>
      </c>
      <c r="E1719" s="10" t="str">
        <f>HYPERLINK("https://twitter.com/psolidaridad/status/1070802547823255553","1070802547823255553")</f>
        <v>1070802547823255553</v>
      </c>
      <c r="F1719" s="11" t="s">
        <v>4628</v>
      </c>
      <c r="G1719" s="12"/>
      <c r="H1719" s="12"/>
      <c r="I1719" s="13">
        <v>2</v>
      </c>
      <c r="J1719" s="13">
        <v>0</v>
      </c>
      <c r="K1719" s="14" t="str">
        <f t="shared" si="301"/>
        <v>Twitter for Android</v>
      </c>
      <c r="L1719" s="13">
        <v>1623</v>
      </c>
      <c r="M1719" s="13">
        <v>4841</v>
      </c>
      <c r="N1719" s="13">
        <v>1</v>
      </c>
      <c r="O1719" s="15"/>
      <c r="P1719" s="6">
        <v>41803.502372685187</v>
      </c>
      <c r="Q1719" s="12"/>
      <c r="R1719" s="17" t="s">
        <v>6019</v>
      </c>
      <c r="S1719" s="12"/>
      <c r="T1719" s="12"/>
      <c r="U1719" s="10" t="str">
        <f>HYPERLINK("https://pbs.twimg.com/profile_images/1030394358397317120/oQ0F2vnz.jpg","View")</f>
        <v>View</v>
      </c>
    </row>
    <row r="1720" spans="1:21" ht="40.799999999999997">
      <c r="A1720" s="6">
        <v>43440.963761574079</v>
      </c>
      <c r="B1720" s="7" t="str">
        <f>HYPERLINK("https://twitter.com/observatoryo","@observatoryo")</f>
        <v>@observatoryo</v>
      </c>
      <c r="C1720" s="8" t="s">
        <v>6020</v>
      </c>
      <c r="D1720" s="9" t="s">
        <v>6021</v>
      </c>
      <c r="E1720" s="10" t="str">
        <f>HYPERLINK("https://twitter.com/observatoryo/status/1070802015540924416","1070802015540924416")</f>
        <v>1070802015540924416</v>
      </c>
      <c r="F1720" s="11" t="s">
        <v>1904</v>
      </c>
      <c r="G1720" s="12"/>
      <c r="H1720" s="12"/>
      <c r="I1720" s="13">
        <v>0</v>
      </c>
      <c r="J1720" s="13">
        <v>0</v>
      </c>
      <c r="K1720" s="14" t="str">
        <f t="shared" si="301"/>
        <v>Twitter for Android</v>
      </c>
      <c r="L1720" s="13">
        <v>1922</v>
      </c>
      <c r="M1720" s="13">
        <v>1232</v>
      </c>
      <c r="N1720" s="13">
        <v>123</v>
      </c>
      <c r="O1720" s="15"/>
      <c r="P1720" s="6">
        <v>40752.838252314818</v>
      </c>
      <c r="Q1720" s="16" t="s">
        <v>6022</v>
      </c>
      <c r="R1720" s="17" t="s">
        <v>6023</v>
      </c>
      <c r="S1720" s="12"/>
      <c r="T1720" s="12"/>
      <c r="U1720" s="10" t="str">
        <f>HYPERLINK("https://pbs.twimg.com/profile_images/974663868411777025/W-SFjKaP.jpg","View")</f>
        <v>View</v>
      </c>
    </row>
    <row r="1721" spans="1:21" ht="71.400000000000006">
      <c r="A1721" s="6">
        <v>43440.963287037041</v>
      </c>
      <c r="B1721" s="7" t="str">
        <f>HYPERLINK("https://twitter.com/KoalasEnAustral","@KoalasEnAustral")</f>
        <v>@KoalasEnAustral</v>
      </c>
      <c r="C1721" s="8" t="s">
        <v>6024</v>
      </c>
      <c r="D1721" s="9" t="s">
        <v>6025</v>
      </c>
      <c r="E1721" s="10" t="str">
        <f>HYPERLINK("https://twitter.com/KoalasEnAustral/status/1070801841733156865","1070801841733156865")</f>
        <v>1070801841733156865</v>
      </c>
      <c r="F1721" s="11" t="s">
        <v>3950</v>
      </c>
      <c r="G1721" s="11" t="s">
        <v>3951</v>
      </c>
      <c r="H1721" s="12"/>
      <c r="I1721" s="13">
        <v>0</v>
      </c>
      <c r="J1721" s="13">
        <v>0</v>
      </c>
      <c r="K1721" s="14" t="str">
        <f>HYPERLINK("https://mobile.twitter.com","Twitter Lite")</f>
        <v>Twitter Lite</v>
      </c>
      <c r="L1721" s="13">
        <v>86</v>
      </c>
      <c r="M1721" s="13">
        <v>320</v>
      </c>
      <c r="N1721" s="13">
        <v>0</v>
      </c>
      <c r="O1721" s="15"/>
      <c r="P1721" s="6">
        <v>41128.875138888892</v>
      </c>
      <c r="Q1721" s="12"/>
      <c r="R1721" s="19"/>
      <c r="S1721" s="12"/>
      <c r="T1721" s="12"/>
      <c r="U1721" s="10" t="str">
        <f>HYPERLINK("https://pbs.twimg.com/profile_images/2949719434/b121f10c2de5918943e1be0dc3610389.jpeg","View")</f>
        <v>View</v>
      </c>
    </row>
    <row r="1722" spans="1:21" ht="40.799999999999997">
      <c r="A1722" s="6">
        <v>43440.963194444441</v>
      </c>
      <c r="B1722" s="7" t="str">
        <f>HYPERLINK("https://twitter.com/Nuevo_Curso","@Nuevo_Curso")</f>
        <v>@Nuevo_Curso</v>
      </c>
      <c r="C1722" s="8" t="s">
        <v>6030</v>
      </c>
      <c r="D1722" s="9" t="s">
        <v>6031</v>
      </c>
      <c r="E1722" s="10" t="str">
        <f>HYPERLINK("https://twitter.com/Nuevo_Curso/status/1070801810556903424","1070801810556903424")</f>
        <v>1070801810556903424</v>
      </c>
      <c r="F1722" s="11" t="s">
        <v>6032</v>
      </c>
      <c r="G1722" s="12"/>
      <c r="H1722" s="12"/>
      <c r="I1722" s="13">
        <v>2</v>
      </c>
      <c r="J1722" s="13">
        <v>2</v>
      </c>
      <c r="K1722" s="14" t="str">
        <f>HYPERLINK("https://buffer.com","Buffer")</f>
        <v>Buffer</v>
      </c>
      <c r="L1722" s="13">
        <v>4960</v>
      </c>
      <c r="M1722" s="13">
        <v>2</v>
      </c>
      <c r="N1722" s="13">
        <v>13</v>
      </c>
      <c r="O1722" s="15"/>
      <c r="P1722" s="6">
        <v>43004.446574074071</v>
      </c>
      <c r="Q1722" s="16" t="s">
        <v>6033</v>
      </c>
      <c r="R1722" s="17" t="s">
        <v>6034</v>
      </c>
      <c r="S1722" s="11" t="s">
        <v>6035</v>
      </c>
      <c r="T1722" s="12"/>
      <c r="U1722" s="10" t="str">
        <f>HYPERLINK("https://pbs.twimg.com/profile_images/956888218779160578/LHnGv_jn.jpg","View")</f>
        <v>View</v>
      </c>
    </row>
    <row r="1723" spans="1:21" ht="30.6">
      <c r="A1723" s="6">
        <v>43440.96303240741</v>
      </c>
      <c r="B1723" s="7" t="str">
        <f>HYPERLINK("https://twitter.com/SocialCiudadano","@SocialCiudadano")</f>
        <v>@SocialCiudadano</v>
      </c>
      <c r="C1723" s="8" t="s">
        <v>6036</v>
      </c>
      <c r="D1723" s="9" t="s">
        <v>4198</v>
      </c>
      <c r="E1723" s="10" t="str">
        <f>HYPERLINK("https://twitter.com/SocialCiudadano/status/1070801751865991169","1070801751865991169")</f>
        <v>1070801751865991169</v>
      </c>
      <c r="F1723" s="11" t="s">
        <v>1185</v>
      </c>
      <c r="G1723" s="12"/>
      <c r="H1723" s="12"/>
      <c r="I1723" s="13">
        <v>2</v>
      </c>
      <c r="J1723" s="13">
        <v>0</v>
      </c>
      <c r="K1723" s="14" t="str">
        <f>HYPERLINK("http://twitter.com","Twitter Web Client")</f>
        <v>Twitter Web Client</v>
      </c>
      <c r="L1723" s="13">
        <v>642</v>
      </c>
      <c r="M1723" s="13">
        <v>1326</v>
      </c>
      <c r="N1723" s="13">
        <v>2</v>
      </c>
      <c r="O1723" s="15"/>
      <c r="P1723" s="6">
        <v>42388.957048611112</v>
      </c>
      <c r="Q1723" s="16" t="s">
        <v>2527</v>
      </c>
      <c r="R1723" s="17" t="s">
        <v>6037</v>
      </c>
      <c r="S1723" s="11" t="s">
        <v>6038</v>
      </c>
      <c r="T1723" s="12"/>
      <c r="U1723" s="10" t="str">
        <f>HYPERLINK("https://pbs.twimg.com/profile_images/989849592748564480/jnmloev4.jpg","View")</f>
        <v>View</v>
      </c>
    </row>
    <row r="1724" spans="1:21" ht="20.399999999999999">
      <c r="A1724" s="6">
        <v>43440.962604166663</v>
      </c>
      <c r="B1724" s="7" t="str">
        <f>HYPERLINK("https://twitter.com/anabelenbaena","@anabelenbaena")</f>
        <v>@anabelenbaena</v>
      </c>
      <c r="C1724" s="8" t="s">
        <v>6039</v>
      </c>
      <c r="D1724" s="9" t="s">
        <v>2521</v>
      </c>
      <c r="E1724" s="10" t="str">
        <f>HYPERLINK("https://twitter.com/anabelenbaena/status/1070801593937879041","1070801593937879041")</f>
        <v>1070801593937879041</v>
      </c>
      <c r="F1724" s="11" t="s">
        <v>3202</v>
      </c>
      <c r="G1724" s="12"/>
      <c r="H1724" s="12"/>
      <c r="I1724" s="13">
        <v>0</v>
      </c>
      <c r="J1724" s="13">
        <v>0</v>
      </c>
      <c r="K1724" s="14" t="str">
        <f>HYPERLINK("http://www.facebook.com/twitter","Facebook")</f>
        <v>Facebook</v>
      </c>
      <c r="L1724" s="13">
        <v>47</v>
      </c>
      <c r="M1724" s="13">
        <v>235</v>
      </c>
      <c r="N1724" s="13">
        <v>3</v>
      </c>
      <c r="O1724" s="15"/>
      <c r="P1724" s="6">
        <v>40454.666747685187</v>
      </c>
      <c r="Q1724" s="16" t="s">
        <v>6040</v>
      </c>
      <c r="R1724" s="19"/>
      <c r="S1724" s="12"/>
      <c r="T1724" s="12"/>
      <c r="U1724" s="10" t="str">
        <f>HYPERLINK("https://pbs.twimg.com/profile_images/1040712426965151746/QykW9d56.jpg","View")</f>
        <v>View</v>
      </c>
    </row>
    <row r="1725" spans="1:21" ht="30.6">
      <c r="A1725" s="6">
        <v>43440.962106481486</v>
      </c>
      <c r="B1725" s="7" t="str">
        <f>HYPERLINK("https://twitter.com/parrantoni","@parrantoni")</f>
        <v>@parrantoni</v>
      </c>
      <c r="C1725" s="8" t="s">
        <v>6041</v>
      </c>
      <c r="D1725" s="9" t="s">
        <v>6042</v>
      </c>
      <c r="E1725" s="10" t="str">
        <f>HYPERLINK("https://twitter.com/parrantoni/status/1070801415616921600","1070801415616921600")</f>
        <v>1070801415616921600</v>
      </c>
      <c r="F1725" s="11" t="s">
        <v>1904</v>
      </c>
      <c r="G1725" s="12"/>
      <c r="H1725" s="12"/>
      <c r="I1725" s="13">
        <v>0</v>
      </c>
      <c r="J1725" s="13">
        <v>0</v>
      </c>
      <c r="K1725" s="14" t="str">
        <f>HYPERLINK("http://twitter.com/download/iphone","Twitter for iPhone")</f>
        <v>Twitter for iPhone</v>
      </c>
      <c r="L1725" s="13">
        <v>3634</v>
      </c>
      <c r="M1725" s="13">
        <v>2408</v>
      </c>
      <c r="N1725" s="13">
        <v>39</v>
      </c>
      <c r="O1725" s="15"/>
      <c r="P1725" s="6">
        <v>40828.89135416667</v>
      </c>
      <c r="Q1725" s="16" t="s">
        <v>6043</v>
      </c>
      <c r="R1725" s="17" t="s">
        <v>6044</v>
      </c>
      <c r="S1725" s="12"/>
      <c r="T1725" s="12"/>
      <c r="U1725" s="10" t="str">
        <f>HYPERLINK("https://pbs.twimg.com/profile_images/1069012925996769280/5A7rdQul.jpg","View")</f>
        <v>View</v>
      </c>
    </row>
    <row r="1726" spans="1:21" ht="20.399999999999999">
      <c r="A1726" s="6">
        <v>43440.962013888886</v>
      </c>
      <c r="B1726" s="7" t="str">
        <f>HYPERLINK("https://twitter.com/bartblue4","@bartblue4")</f>
        <v>@bartblue4</v>
      </c>
      <c r="C1726" s="8" t="s">
        <v>2836</v>
      </c>
      <c r="D1726" s="9" t="s">
        <v>6045</v>
      </c>
      <c r="E1726" s="10" t="str">
        <f>HYPERLINK("https://twitter.com/bartblue4/status/1070801381827723264","1070801381827723264")</f>
        <v>1070801381827723264</v>
      </c>
      <c r="F1726" s="11" t="s">
        <v>6046</v>
      </c>
      <c r="G1726" s="12"/>
      <c r="H1726" s="12"/>
      <c r="I1726" s="13">
        <v>0</v>
      </c>
      <c r="J1726" s="13">
        <v>0</v>
      </c>
      <c r="K1726" s="14" t="str">
        <f>HYPERLINK("http://twitter.com/download/android","Twitter for Android")</f>
        <v>Twitter for Android</v>
      </c>
      <c r="L1726" s="13">
        <v>80</v>
      </c>
      <c r="M1726" s="13">
        <v>39</v>
      </c>
      <c r="N1726" s="13">
        <v>8</v>
      </c>
      <c r="O1726" s="15"/>
      <c r="P1726" s="6">
        <v>41132.713310185187</v>
      </c>
      <c r="Q1726" s="16" t="s">
        <v>2838</v>
      </c>
      <c r="R1726" s="17" t="s">
        <v>2839</v>
      </c>
      <c r="S1726" s="12"/>
      <c r="T1726" s="12"/>
      <c r="U1726" s="10" t="str">
        <f>HYPERLINK("https://pbs.twimg.com/profile_images/717120480306704385/vnAqJSFn.jpg","View")</f>
        <v>View</v>
      </c>
    </row>
    <row r="1727" spans="1:21" ht="40.799999999999997">
      <c r="A1727" s="6">
        <v>43440.96157407407</v>
      </c>
      <c r="B1727" s="7" t="str">
        <f>HYPERLINK("https://twitter.com/marylouiseguia","@marylouiseguia")</f>
        <v>@marylouiseguia</v>
      </c>
      <c r="C1727" s="8" t="s">
        <v>6047</v>
      </c>
      <c r="D1727" s="9" t="s">
        <v>6048</v>
      </c>
      <c r="E1727" s="10" t="str">
        <f>HYPERLINK("https://twitter.com/marylouiseguia/status/1070801220338618368","1070801220338618368")</f>
        <v>1070801220338618368</v>
      </c>
      <c r="F1727" s="11" t="s">
        <v>6049</v>
      </c>
      <c r="G1727" s="12"/>
      <c r="H1727" s="12"/>
      <c r="I1727" s="13">
        <v>0</v>
      </c>
      <c r="J1727" s="13">
        <v>0</v>
      </c>
      <c r="K1727" s="14" t="str">
        <f t="shared" ref="K1727:K1728" si="302">HYPERLINK("http://twitter.com","Twitter Web Client")</f>
        <v>Twitter Web Client</v>
      </c>
      <c r="L1727" s="13">
        <v>32</v>
      </c>
      <c r="M1727" s="13">
        <v>162</v>
      </c>
      <c r="N1727" s="13">
        <v>0</v>
      </c>
      <c r="O1727" s="15"/>
      <c r="P1727" s="6">
        <v>40147.729988425926</v>
      </c>
      <c r="Q1727" s="16" t="s">
        <v>6050</v>
      </c>
      <c r="R1727" s="17" t="s">
        <v>6051</v>
      </c>
      <c r="S1727" s="12"/>
      <c r="T1727" s="12"/>
      <c r="U1727" s="10" t="str">
        <f>HYPERLINK("https://pbs.twimg.com/profile_images/551830987/maria1.jpg","View")</f>
        <v>View</v>
      </c>
    </row>
    <row r="1728" spans="1:21" ht="51">
      <c r="A1728" s="6">
        <v>43440.961145833338</v>
      </c>
      <c r="B1728" s="7" t="str">
        <f>HYPERLINK("https://twitter.com/carrillo_manolo","@carrillo_manolo")</f>
        <v>@carrillo_manolo</v>
      </c>
      <c r="C1728" s="8" t="s">
        <v>6052</v>
      </c>
      <c r="D1728" s="9" t="s">
        <v>6053</v>
      </c>
      <c r="E1728" s="10" t="str">
        <f>HYPERLINK("https://twitter.com/carrillo_manolo/status/1070801064742543361","1070801064742543361")</f>
        <v>1070801064742543361</v>
      </c>
      <c r="F1728" s="12"/>
      <c r="G1728" s="12"/>
      <c r="H1728" s="12"/>
      <c r="I1728" s="13">
        <v>0</v>
      </c>
      <c r="J1728" s="13">
        <v>0</v>
      </c>
      <c r="K1728" s="14" t="str">
        <f t="shared" si="302"/>
        <v>Twitter Web Client</v>
      </c>
      <c r="L1728" s="13">
        <v>230</v>
      </c>
      <c r="M1728" s="13">
        <v>355</v>
      </c>
      <c r="N1728" s="13">
        <v>5</v>
      </c>
      <c r="O1728" s="15"/>
      <c r="P1728" s="6">
        <v>40884.822743055556</v>
      </c>
      <c r="Q1728" s="16" t="s">
        <v>6054</v>
      </c>
      <c r="R1728" s="17" t="s">
        <v>6055</v>
      </c>
      <c r="S1728" s="12"/>
      <c r="T1728" s="12"/>
      <c r="U1728" s="10" t="str">
        <f>HYPERLINK("https://pbs.twimg.com/profile_images/1679401912/image.jpg","View")</f>
        <v>View</v>
      </c>
    </row>
    <row r="1729" spans="1:21" ht="30.6">
      <c r="A1729" s="6">
        <v>43440.960555555561</v>
      </c>
      <c r="B1729" s="7" t="str">
        <f>HYPERLINK("https://twitter.com/paranoiadedios","@paranoiadedios")</f>
        <v>@paranoiadedios</v>
      </c>
      <c r="C1729" s="8" t="s">
        <v>6056</v>
      </c>
      <c r="D1729" s="9" t="s">
        <v>6057</v>
      </c>
      <c r="E1729" s="10" t="str">
        <f>HYPERLINK("https://twitter.com/paranoiadedios/status/1070800853995540480","1070800853995540480")</f>
        <v>1070800853995540480</v>
      </c>
      <c r="F1729" s="11" t="s">
        <v>4815</v>
      </c>
      <c r="G1729" s="12"/>
      <c r="H1729" s="12"/>
      <c r="I1729" s="13">
        <v>0</v>
      </c>
      <c r="J1729" s="13">
        <v>0</v>
      </c>
      <c r="K1729" s="14" t="str">
        <f>HYPERLINK("http://twitter.com/download/android","Twitter for Android")</f>
        <v>Twitter for Android</v>
      </c>
      <c r="L1729" s="13">
        <v>870</v>
      </c>
      <c r="M1729" s="13">
        <v>1314</v>
      </c>
      <c r="N1729" s="13">
        <v>1</v>
      </c>
      <c r="O1729" s="15"/>
      <c r="P1729" s="6">
        <v>43323.56313657407</v>
      </c>
      <c r="Q1729" s="16" t="s">
        <v>387</v>
      </c>
      <c r="R1729" s="17" t="s">
        <v>6058</v>
      </c>
      <c r="S1729" s="12"/>
      <c r="T1729" s="12"/>
      <c r="U1729" s="10" t="str">
        <f>HYPERLINK("https://pbs.twimg.com/profile_images/1032610388049842178/nnoI8ku1.jpg","View")</f>
        <v>View</v>
      </c>
    </row>
    <row r="1730" spans="1:21" ht="30.6">
      <c r="A1730" s="6">
        <v>43440.959907407407</v>
      </c>
      <c r="B1730" s="7" t="str">
        <f>HYPERLINK("https://twitter.com/jlxerrano","@jlxerrano")</f>
        <v>@jlxerrano</v>
      </c>
      <c r="C1730" s="8" t="s">
        <v>5986</v>
      </c>
      <c r="D1730" s="9" t="s">
        <v>2428</v>
      </c>
      <c r="E1730" s="10" t="str">
        <f>HYPERLINK("https://twitter.com/jlxerrano/status/1070800618506330112","1070800618506330112")</f>
        <v>1070800618506330112</v>
      </c>
      <c r="F1730" s="11" t="s">
        <v>246</v>
      </c>
      <c r="G1730" s="12"/>
      <c r="H1730" s="12"/>
      <c r="I1730" s="13">
        <v>0</v>
      </c>
      <c r="J1730" s="13">
        <v>0</v>
      </c>
      <c r="K1730" s="14" t="str">
        <f>HYPERLINK("http://twitter.com/download/iphone","Twitter for iPhone")</f>
        <v>Twitter for iPhone</v>
      </c>
      <c r="L1730" s="13">
        <v>230</v>
      </c>
      <c r="M1730" s="13">
        <v>368</v>
      </c>
      <c r="N1730" s="13">
        <v>1</v>
      </c>
      <c r="O1730" s="15"/>
      <c r="P1730" s="6">
        <v>42840.768831018519</v>
      </c>
      <c r="Q1730" s="16" t="s">
        <v>5989</v>
      </c>
      <c r="R1730" s="17" t="s">
        <v>5990</v>
      </c>
      <c r="S1730" s="12"/>
      <c r="T1730" s="12"/>
      <c r="U1730" s="10" t="str">
        <f>HYPERLINK("https://pbs.twimg.com/profile_images/1035527255215099905/2USJVAFA.jpg","View")</f>
        <v>View</v>
      </c>
    </row>
    <row r="1731" spans="1:21" ht="81.599999999999994">
      <c r="A1731" s="6">
        <v>43440.95958333333</v>
      </c>
      <c r="B1731" s="7" t="str">
        <f>HYPERLINK("https://twitter.com/LluisXRG","@LluisXRG")</f>
        <v>@LluisXRG</v>
      </c>
      <c r="C1731" s="8" t="s">
        <v>6059</v>
      </c>
      <c r="D1731" s="9" t="s">
        <v>6060</v>
      </c>
      <c r="E1731" s="10" t="str">
        <f>HYPERLINK("https://twitter.com/LluisXRG/status/1070800502412230656","1070800502412230656")</f>
        <v>1070800502412230656</v>
      </c>
      <c r="F1731" s="16" t="s">
        <v>5106</v>
      </c>
      <c r="G1731" s="12"/>
      <c r="H1731" s="12"/>
      <c r="I1731" s="13">
        <v>0</v>
      </c>
      <c r="J1731" s="13">
        <v>0</v>
      </c>
      <c r="K1731" s="14" t="str">
        <f>HYPERLINK("http://twitter.com/download/android","Twitter for Android")</f>
        <v>Twitter for Android</v>
      </c>
      <c r="L1731" s="13">
        <v>150</v>
      </c>
      <c r="M1731" s="13">
        <v>273</v>
      </c>
      <c r="N1731" s="13">
        <v>1</v>
      </c>
      <c r="O1731" s="15"/>
      <c r="P1731" s="6">
        <v>41654.661481481482</v>
      </c>
      <c r="Q1731" s="16" t="s">
        <v>6061</v>
      </c>
      <c r="R1731" s="17" t="s">
        <v>6062</v>
      </c>
      <c r="S1731" s="12"/>
      <c r="T1731" s="12"/>
      <c r="U1731" s="10" t="str">
        <f>HYPERLINK("https://pbs.twimg.com/profile_images/1056961319134523393/dlXsligl.jpg","View")</f>
        <v>View</v>
      </c>
    </row>
    <row r="1732" spans="1:21" ht="51">
      <c r="A1732" s="6">
        <v>43440.959456018521</v>
      </c>
      <c r="B1732" s="7" t="str">
        <f>HYPERLINK("https://twitter.com/joseluisportela","@joseluisportela")</f>
        <v>@joseluisportela</v>
      </c>
      <c r="C1732" s="8" t="s">
        <v>6063</v>
      </c>
      <c r="D1732" s="9" t="s">
        <v>6064</v>
      </c>
      <c r="E1732" s="10" t="str">
        <f>HYPERLINK("https://twitter.com/joseluisportela/status/1070800455385653249","1070800455385653249")</f>
        <v>1070800455385653249</v>
      </c>
      <c r="F1732" s="12"/>
      <c r="G1732" s="12"/>
      <c r="H1732" s="12"/>
      <c r="I1732" s="13">
        <v>1</v>
      </c>
      <c r="J1732" s="13">
        <v>6</v>
      </c>
      <c r="K1732" s="14" t="str">
        <f>HYPERLINK("http://twitter.com","Twitter Web Client")</f>
        <v>Twitter Web Client</v>
      </c>
      <c r="L1732" s="13">
        <v>8490</v>
      </c>
      <c r="M1732" s="13">
        <v>7893</v>
      </c>
      <c r="N1732" s="13">
        <v>182</v>
      </c>
      <c r="O1732" s="15"/>
      <c r="P1732" s="6">
        <v>39832.000868055555</v>
      </c>
      <c r="Q1732" s="16" t="s">
        <v>1408</v>
      </c>
      <c r="R1732" s="17" t="s">
        <v>6065</v>
      </c>
      <c r="S1732" s="11" t="s">
        <v>6066</v>
      </c>
      <c r="T1732" s="12"/>
      <c r="U1732" s="10" t="str">
        <f>HYPERLINK("https://pbs.twimg.com/profile_images/1047032897515991043/zzGkNeyX.jpg","View")</f>
        <v>View</v>
      </c>
    </row>
    <row r="1733" spans="1:21" ht="40.799999999999997">
      <c r="A1733" s="6">
        <v>43440.958356481482</v>
      </c>
      <c r="B1733" s="7" t="str">
        <f>HYPERLINK("https://twitter.com/Reletos","@Reletos")</f>
        <v>@Reletos</v>
      </c>
      <c r="C1733" s="8" t="s">
        <v>6067</v>
      </c>
      <c r="D1733" s="9" t="s">
        <v>6068</v>
      </c>
      <c r="E1733" s="10" t="str">
        <f>HYPERLINK("https://twitter.com/Reletos/status/1070800056683560961","1070800056683560961")</f>
        <v>1070800056683560961</v>
      </c>
      <c r="F1733" s="12"/>
      <c r="G1733" s="11" t="s">
        <v>6069</v>
      </c>
      <c r="H1733" s="12"/>
      <c r="I1733" s="13">
        <v>0</v>
      </c>
      <c r="J1733" s="13">
        <v>0</v>
      </c>
      <c r="K1733" s="14" t="str">
        <f>HYPERLINK("http://twitter.com/download/iphone","Twitter for iPhone")</f>
        <v>Twitter for iPhone</v>
      </c>
      <c r="L1733" s="13">
        <v>474</v>
      </c>
      <c r="M1733" s="13">
        <v>926</v>
      </c>
      <c r="N1733" s="13">
        <v>6</v>
      </c>
      <c r="O1733" s="15"/>
      <c r="P1733" s="6">
        <v>40662.968356481484</v>
      </c>
      <c r="Q1733" s="16" t="s">
        <v>6070</v>
      </c>
      <c r="R1733" s="17" t="s">
        <v>6071</v>
      </c>
      <c r="S1733" s="11" t="s">
        <v>6072</v>
      </c>
      <c r="T1733" s="12"/>
      <c r="U1733" s="10" t="str">
        <f>HYPERLINK("https://pbs.twimg.com/profile_images/998313440706899968/RGgNeqvv.jpg","View")</f>
        <v>View</v>
      </c>
    </row>
    <row r="1734" spans="1:21" ht="51">
      <c r="A1734" s="6">
        <v>43440.958125000005</v>
      </c>
      <c r="B1734" s="7" t="str">
        <f>HYPERLINK("https://twitter.com/mordazados","@mordazados")</f>
        <v>@mordazados</v>
      </c>
      <c r="C1734" s="8" t="s">
        <v>6073</v>
      </c>
      <c r="D1734" s="9" t="s">
        <v>6074</v>
      </c>
      <c r="E1734" s="10" t="str">
        <f>HYPERLINK("https://twitter.com/mordazados/status/1070799973330116614","1070799973330116614")</f>
        <v>1070799973330116614</v>
      </c>
      <c r="F1734" s="11" t="s">
        <v>246</v>
      </c>
      <c r="G1734" s="12"/>
      <c r="H1734" s="12"/>
      <c r="I1734" s="13">
        <v>2</v>
      </c>
      <c r="J1734" s="13">
        <v>8</v>
      </c>
      <c r="K1734" s="14" t="str">
        <f t="shared" ref="K1734:K1736" si="303">HYPERLINK("http://twitter.com/download/android","Twitter for Android")</f>
        <v>Twitter for Android</v>
      </c>
      <c r="L1734" s="13">
        <v>2710</v>
      </c>
      <c r="M1734" s="13">
        <v>2012</v>
      </c>
      <c r="N1734" s="13">
        <v>12</v>
      </c>
      <c r="O1734" s="15"/>
      <c r="P1734" s="6">
        <v>42256.525879629626</v>
      </c>
      <c r="Q1734" s="12"/>
      <c r="R1734" s="19"/>
      <c r="S1734" s="12"/>
      <c r="T1734" s="12"/>
      <c r="U1734" s="10" t="str">
        <f>HYPERLINK("https://pbs.twimg.com/profile_images/1051012201094496256/FGLyUHOp.jpg","View")</f>
        <v>View</v>
      </c>
    </row>
    <row r="1735" spans="1:21" ht="20.399999999999999">
      <c r="A1735" s="6">
        <v>43440.957719907412</v>
      </c>
      <c r="B1735" s="7" t="str">
        <f>HYPERLINK("https://twitter.com/Paco_Pico27","@Paco_Pico27")</f>
        <v>@Paco_Pico27</v>
      </c>
      <c r="C1735" s="8" t="s">
        <v>5400</v>
      </c>
      <c r="D1735" s="9" t="s">
        <v>6021</v>
      </c>
      <c r="E1735" s="10" t="str">
        <f>HYPERLINK("https://twitter.com/Paco_Pico27/status/1070799823249596418","1070799823249596418")</f>
        <v>1070799823249596418</v>
      </c>
      <c r="F1735" s="11" t="s">
        <v>1904</v>
      </c>
      <c r="G1735" s="12"/>
      <c r="H1735" s="12"/>
      <c r="I1735" s="13">
        <v>0</v>
      </c>
      <c r="J1735" s="13">
        <v>0</v>
      </c>
      <c r="K1735" s="14" t="str">
        <f t="shared" si="303"/>
        <v>Twitter for Android</v>
      </c>
      <c r="L1735" s="13">
        <v>469</v>
      </c>
      <c r="M1735" s="13">
        <v>860</v>
      </c>
      <c r="N1735" s="13">
        <v>23</v>
      </c>
      <c r="O1735" s="15"/>
      <c r="P1735" s="6">
        <v>41043.761145833334</v>
      </c>
      <c r="Q1735" s="16" t="s">
        <v>200</v>
      </c>
      <c r="R1735" s="17" t="s">
        <v>5401</v>
      </c>
      <c r="S1735" s="12"/>
      <c r="T1735" s="12"/>
      <c r="U1735" s="10" t="str">
        <f>HYPERLINK("https://pbs.twimg.com/profile_images/711077803148632064/3ryoGf1J.jpg","View")</f>
        <v>View</v>
      </c>
    </row>
    <row r="1736" spans="1:21" ht="20.399999999999999">
      <c r="A1736" s="6">
        <v>43440.955682870372</v>
      </c>
      <c r="B1736" s="7" t="str">
        <f>HYPERLINK("https://twitter.com/JuanesIG","@JuanesIG")</f>
        <v>@JuanesIG</v>
      </c>
      <c r="C1736" s="8" t="s">
        <v>6076</v>
      </c>
      <c r="D1736" s="9" t="s">
        <v>6077</v>
      </c>
      <c r="E1736" s="10" t="str">
        <f>HYPERLINK("https://twitter.com/JuanesIG/status/1070799085551173632","1070799085551173632")</f>
        <v>1070799085551173632</v>
      </c>
      <c r="F1736" s="12"/>
      <c r="G1736" s="12"/>
      <c r="H1736" s="12"/>
      <c r="I1736" s="13">
        <v>0</v>
      </c>
      <c r="J1736" s="13">
        <v>0</v>
      </c>
      <c r="K1736" s="14" t="str">
        <f t="shared" si="303"/>
        <v>Twitter for Android</v>
      </c>
      <c r="L1736" s="13">
        <v>787</v>
      </c>
      <c r="M1736" s="13">
        <v>433</v>
      </c>
      <c r="N1736" s="13">
        <v>9</v>
      </c>
      <c r="O1736" s="15"/>
      <c r="P1736" s="6">
        <v>41542.944351851853</v>
      </c>
      <c r="Q1736" s="16" t="s">
        <v>427</v>
      </c>
      <c r="R1736" s="17" t="s">
        <v>6078</v>
      </c>
      <c r="S1736" s="11" t="s">
        <v>6079</v>
      </c>
      <c r="T1736" s="12"/>
      <c r="U1736" s="10" t="str">
        <f>HYPERLINK("https://pbs.twimg.com/profile_images/1060128427724939265/170mfeHr.jpg","View")</f>
        <v>View</v>
      </c>
    </row>
    <row r="1737" spans="1:21" ht="20.399999999999999">
      <c r="A1737" s="6">
        <v>43440.954432870371</v>
      </c>
      <c r="B1737" s="7" t="str">
        <f>HYPERLINK("https://twitter.com/condetankov","@condetankov")</f>
        <v>@condetankov</v>
      </c>
      <c r="C1737" s="8" t="s">
        <v>6080</v>
      </c>
      <c r="D1737" s="9" t="s">
        <v>6081</v>
      </c>
      <c r="E1737" s="10" t="str">
        <f>HYPERLINK("https://twitter.com/condetankov/status/1070798633497436161","1070798633497436161")</f>
        <v>1070798633497436161</v>
      </c>
      <c r="F1737" s="11" t="s">
        <v>2537</v>
      </c>
      <c r="G1737" s="12"/>
      <c r="H1737" s="12"/>
      <c r="I1737" s="13">
        <v>0</v>
      </c>
      <c r="J1737" s="13">
        <v>0</v>
      </c>
      <c r="K1737" s="14" t="str">
        <f>HYPERLINK("http://www.facebook.com/twitter","Facebook")</f>
        <v>Facebook</v>
      </c>
      <c r="L1737" s="13">
        <v>958</v>
      </c>
      <c r="M1737" s="13">
        <v>209</v>
      </c>
      <c r="N1737" s="13">
        <v>7</v>
      </c>
      <c r="O1737" s="15"/>
      <c r="P1737" s="6">
        <v>40673.002106481479</v>
      </c>
      <c r="Q1737" s="12"/>
      <c r="R1737" s="17" t="s">
        <v>6082</v>
      </c>
      <c r="S1737" s="11" t="s">
        <v>6083</v>
      </c>
      <c r="T1737" s="12"/>
      <c r="U1737" s="10" t="str">
        <f>HYPERLINK("https://pbs.twimg.com/profile_images/937653994410913793/9Idn0n0w.jpg","View")</f>
        <v>View</v>
      </c>
    </row>
    <row r="1738" spans="1:21" ht="30.6">
      <c r="A1738" s="6">
        <v>43440.952870370369</v>
      </c>
      <c r="B1738" s="7" t="str">
        <f>HYPERLINK("https://twitter.com/ciudadanorafa","@ciudadanorafa")</f>
        <v>@ciudadanorafa</v>
      </c>
      <c r="C1738" s="8" t="s">
        <v>881</v>
      </c>
      <c r="D1738" s="9" t="s">
        <v>6084</v>
      </c>
      <c r="E1738" s="10" t="str">
        <f>HYPERLINK("https://twitter.com/ciudadanorafa/status/1070798067316768768","1070798067316768768")</f>
        <v>1070798067316768768</v>
      </c>
      <c r="F1738" s="11" t="s">
        <v>6085</v>
      </c>
      <c r="G1738" s="12"/>
      <c r="H1738" s="12"/>
      <c r="I1738" s="13">
        <v>0</v>
      </c>
      <c r="J1738" s="13">
        <v>1</v>
      </c>
      <c r="K1738" s="14" t="str">
        <f>HYPERLINK("http://twitter.com/download/android","Twitter for Android")</f>
        <v>Twitter for Android</v>
      </c>
      <c r="L1738" s="13">
        <v>118</v>
      </c>
      <c r="M1738" s="13">
        <v>170</v>
      </c>
      <c r="N1738" s="13">
        <v>0</v>
      </c>
      <c r="O1738" s="15"/>
      <c r="P1738" s="6">
        <v>40710.398472222223</v>
      </c>
      <c r="Q1738" s="16" t="s">
        <v>884</v>
      </c>
      <c r="R1738" s="19"/>
      <c r="S1738" s="12"/>
      <c r="T1738" s="12"/>
      <c r="U1738" s="10" t="str">
        <f>HYPERLINK("https://pbs.twimg.com/profile_images/1056122701734178816/W-21A9GK.jpg","View")</f>
        <v>View</v>
      </c>
    </row>
    <row r="1739" spans="1:21" ht="30.6">
      <c r="A1739" s="6">
        <v>43440.951481481483</v>
      </c>
      <c r="B1739" s="7" t="str">
        <f>HYPERLINK("https://twitter.com/gisb_sus","@gisb_sus")</f>
        <v>@gisb_sus</v>
      </c>
      <c r="C1739" s="8" t="s">
        <v>6086</v>
      </c>
      <c r="D1739" s="9" t="s">
        <v>4198</v>
      </c>
      <c r="E1739" s="10" t="str">
        <f>HYPERLINK("https://twitter.com/gisb_sus/status/1070797563555733504","1070797563555733504")</f>
        <v>1070797563555733504</v>
      </c>
      <c r="F1739" s="11" t="s">
        <v>1185</v>
      </c>
      <c r="G1739" s="12"/>
      <c r="H1739" s="12"/>
      <c r="I1739" s="13">
        <v>1</v>
      </c>
      <c r="J1739" s="13">
        <v>2</v>
      </c>
      <c r="K1739" s="14" t="str">
        <f>HYPERLINK("http://twitter.com","Twitter Web Client")</f>
        <v>Twitter Web Client</v>
      </c>
      <c r="L1739" s="13">
        <v>12400</v>
      </c>
      <c r="M1739" s="13">
        <v>866</v>
      </c>
      <c r="N1739" s="13">
        <v>298</v>
      </c>
      <c r="O1739" s="15"/>
      <c r="P1739" s="6">
        <v>41258.00141203704</v>
      </c>
      <c r="Q1739" s="12"/>
      <c r="R1739" s="17" t="s">
        <v>6087</v>
      </c>
      <c r="S1739" s="11" t="s">
        <v>6088</v>
      </c>
      <c r="T1739" s="12"/>
      <c r="U1739" s="10" t="str">
        <f>HYPERLINK("https://pbs.twimg.com/profile_images/712769551331622912/LOyUASMZ.jpg","View")</f>
        <v>View</v>
      </c>
    </row>
    <row r="1740" spans="1:21" ht="20.399999999999999">
      <c r="A1740" s="6">
        <v>43440.951388888891</v>
      </c>
      <c r="B1740" s="7" t="str">
        <f>HYPERLINK("https://twitter.com/eldiarioes","@eldiarioes")</f>
        <v>@eldiarioes</v>
      </c>
      <c r="C1740" s="20" t="s">
        <v>642</v>
      </c>
      <c r="D1740" s="9" t="s">
        <v>6089</v>
      </c>
      <c r="E1740" s="10" t="str">
        <f>HYPERLINK("https://twitter.com/eldiarioes/status/1070797530235977728","1070797530235977728")</f>
        <v>1070797530235977728</v>
      </c>
      <c r="F1740" s="11" t="s">
        <v>4145</v>
      </c>
      <c r="G1740" s="11" t="s">
        <v>6090</v>
      </c>
      <c r="H1740" s="12"/>
      <c r="I1740" s="13">
        <v>8</v>
      </c>
      <c r="J1740" s="13">
        <v>7</v>
      </c>
      <c r="K1740" s="14" t="str">
        <f>HYPERLINK("https://about.twitter.com/products/tweetdeck","TweetDeck")</f>
        <v>TweetDeck</v>
      </c>
      <c r="L1740" s="13">
        <v>940168</v>
      </c>
      <c r="M1740" s="13">
        <v>456</v>
      </c>
      <c r="N1740" s="13">
        <v>11262</v>
      </c>
      <c r="O1740" s="18" t="s">
        <v>41</v>
      </c>
      <c r="P1740" s="6">
        <v>40992.839189814811</v>
      </c>
      <c r="Q1740" s="12"/>
      <c r="R1740" s="17" t="s">
        <v>643</v>
      </c>
      <c r="S1740" s="11" t="s">
        <v>644</v>
      </c>
      <c r="T1740" s="12"/>
      <c r="U1740" s="10" t="str">
        <f>HYPERLINK("https://pbs.twimg.com/profile_images/1016600645292511232/eYIkIK2s.jpg","View")</f>
        <v>View</v>
      </c>
    </row>
    <row r="1741" spans="1:21" ht="102">
      <c r="A1741" s="6">
        <v>43440.950937500005</v>
      </c>
      <c r="B1741" s="7" t="str">
        <f>HYPERLINK("https://twitter.com/PepitaMenaMart1","@PepitaMenaMart1")</f>
        <v>@PepitaMenaMart1</v>
      </c>
      <c r="C1741" s="8" t="s">
        <v>2188</v>
      </c>
      <c r="D1741" s="9" t="s">
        <v>6091</v>
      </c>
      <c r="E1741" s="10" t="str">
        <f>HYPERLINK("https://twitter.com/PepitaMenaMart1/status/1070797369367764998","1070797369367764998")</f>
        <v>1070797369367764998</v>
      </c>
      <c r="F1741" s="11" t="s">
        <v>6092</v>
      </c>
      <c r="G1741" s="11" t="s">
        <v>6093</v>
      </c>
      <c r="H1741" s="12"/>
      <c r="I1741" s="13">
        <v>0</v>
      </c>
      <c r="J1741" s="13">
        <v>1</v>
      </c>
      <c r="K1741" s="14" t="str">
        <f>HYPERLINK("http://twitter.com/download/android","Twitter for Android")</f>
        <v>Twitter for Android</v>
      </c>
      <c r="L1741" s="13">
        <v>437</v>
      </c>
      <c r="M1741" s="13">
        <v>350</v>
      </c>
      <c r="N1741" s="13">
        <v>1</v>
      </c>
      <c r="O1741" s="15"/>
      <c r="P1741" s="6">
        <v>43124.888506944444</v>
      </c>
      <c r="Q1741" s="16" t="s">
        <v>2190</v>
      </c>
      <c r="R1741" s="17" t="s">
        <v>2191</v>
      </c>
      <c r="S1741" s="12"/>
      <c r="T1741" s="12"/>
      <c r="U1741" s="10" t="str">
        <f>HYPERLINK("https://pbs.twimg.com/profile_images/1053410905311064064/xChXdA8v.jpg","View")</f>
        <v>View</v>
      </c>
    </row>
    <row r="1742" spans="1:21" ht="91.8">
      <c r="A1742" s="6">
        <v>43440.949224537035</v>
      </c>
      <c r="B1742" s="7" t="str">
        <f>HYPERLINK("https://twitter.com/Paquita_R","@Paquita_R")</f>
        <v>@Paquita_R</v>
      </c>
      <c r="C1742" s="8" t="s">
        <v>520</v>
      </c>
      <c r="D1742" s="9" t="s">
        <v>6094</v>
      </c>
      <c r="E1742" s="10" t="str">
        <f>HYPERLINK("https://twitter.com/Paquita_R/status/1070796747771969536","1070796747771969536")</f>
        <v>1070796747771969536</v>
      </c>
      <c r="F1742" s="16" t="s">
        <v>6095</v>
      </c>
      <c r="G1742" s="12"/>
      <c r="H1742" s="12"/>
      <c r="I1742" s="13">
        <v>0</v>
      </c>
      <c r="J1742" s="13">
        <v>1</v>
      </c>
      <c r="K1742" s="14" t="str">
        <f>HYPERLINK("http://twitter.com","Twitter Web Client")</f>
        <v>Twitter Web Client</v>
      </c>
      <c r="L1742" s="13">
        <v>83</v>
      </c>
      <c r="M1742" s="13">
        <v>369</v>
      </c>
      <c r="N1742" s="13">
        <v>1</v>
      </c>
      <c r="O1742" s="15"/>
      <c r="P1742" s="6">
        <v>40174.983449074076</v>
      </c>
      <c r="Q1742" s="16" t="s">
        <v>200</v>
      </c>
      <c r="R1742" s="19"/>
      <c r="S1742" s="12"/>
      <c r="T1742" s="12"/>
      <c r="U1742" s="10" t="str">
        <f>HYPERLINK("https://pbs.twimg.com/profile_images/1067916239484436480/NAudR-HG.jpg","View")</f>
        <v>View</v>
      </c>
    </row>
    <row r="1743" spans="1:21" ht="20.399999999999999">
      <c r="A1743" s="6">
        <v>43440.948969907404</v>
      </c>
      <c r="B1743" s="7" t="str">
        <f>HYPERLINK("https://twitter.com/JesusFerrer7","@JesusFerrer7")</f>
        <v>@JesusFerrer7</v>
      </c>
      <c r="C1743" s="8" t="s">
        <v>6096</v>
      </c>
      <c r="D1743" s="9" t="s">
        <v>2259</v>
      </c>
      <c r="E1743" s="10" t="str">
        <f>HYPERLINK("https://twitter.com/JesusFerrer7/status/1070796652930322433","1070796652930322433")</f>
        <v>1070796652930322433</v>
      </c>
      <c r="F1743" s="11" t="s">
        <v>2260</v>
      </c>
      <c r="G1743" s="12"/>
      <c r="H1743" s="12"/>
      <c r="I1743" s="13">
        <v>0</v>
      </c>
      <c r="J1743" s="13">
        <v>2</v>
      </c>
      <c r="K1743" s="14" t="str">
        <f>HYPERLINK("http://twitter.com/#!/download/ipad","Twitter for iPad")</f>
        <v>Twitter for iPad</v>
      </c>
      <c r="L1743" s="13">
        <v>267</v>
      </c>
      <c r="M1743" s="13">
        <v>60</v>
      </c>
      <c r="N1743" s="13">
        <v>5</v>
      </c>
      <c r="O1743" s="15"/>
      <c r="P1743" s="6">
        <v>40753.485289351855</v>
      </c>
      <c r="Q1743" s="16" t="s">
        <v>4760</v>
      </c>
      <c r="R1743" s="17" t="s">
        <v>6097</v>
      </c>
      <c r="S1743" s="11" t="s">
        <v>6098</v>
      </c>
      <c r="T1743" s="12"/>
      <c r="U1743" s="10" t="str">
        <f>HYPERLINK("https://pbs.twimg.com/profile_images/1039242633523200001/doAXhKeK.jpg","View")</f>
        <v>View</v>
      </c>
    </row>
    <row r="1744" spans="1:21" ht="30.6">
      <c r="A1744" s="6">
        <v>43440.947916666672</v>
      </c>
      <c r="B1744" s="7" t="str">
        <f>HYPERLINK("https://twitter.com/laSextaTV","@laSextaTV")</f>
        <v>@laSextaTV</v>
      </c>
      <c r="C1744" s="8" t="s">
        <v>3737</v>
      </c>
      <c r="D1744" s="9" t="s">
        <v>6099</v>
      </c>
      <c r="E1744" s="10" t="str">
        <f>HYPERLINK("https://twitter.com/laSextaTV/status/1070796271617748993","1070796271617748993")</f>
        <v>1070796271617748993</v>
      </c>
      <c r="F1744" s="11" t="s">
        <v>6100</v>
      </c>
      <c r="G1744" s="12"/>
      <c r="H1744" s="12"/>
      <c r="I1744" s="13">
        <v>3</v>
      </c>
      <c r="J1744" s="13">
        <v>12</v>
      </c>
      <c r="K1744" s="14" t="str">
        <f>HYPERLINK("http://dogtrack.es","DogTrack_Oficial")</f>
        <v>DogTrack_Oficial</v>
      </c>
      <c r="L1744" s="13">
        <v>915225</v>
      </c>
      <c r="M1744" s="13">
        <v>307</v>
      </c>
      <c r="N1744" s="13">
        <v>5854</v>
      </c>
      <c r="O1744" s="18" t="s">
        <v>41</v>
      </c>
      <c r="P1744" s="6">
        <v>39877.804710648146</v>
      </c>
      <c r="Q1744" s="16" t="s">
        <v>119</v>
      </c>
      <c r="R1744" s="17" t="s">
        <v>3740</v>
      </c>
      <c r="S1744" s="11" t="s">
        <v>3741</v>
      </c>
      <c r="T1744" s="12"/>
      <c r="U1744" s="10" t="str">
        <f>HYPERLINK("https://pbs.twimg.com/profile_images/898966361426231296/0sS0RzFh.jpg","View")</f>
        <v>View</v>
      </c>
    </row>
    <row r="1745" spans="1:21" ht="20.399999999999999">
      <c r="A1745" s="6">
        <v>43440.944814814815</v>
      </c>
      <c r="B1745" s="7" t="str">
        <f>HYPERLINK("https://twitter.com/Felisuco81","@Felisuco81")</f>
        <v>@Felisuco81</v>
      </c>
      <c r="C1745" s="8" t="s">
        <v>6101</v>
      </c>
      <c r="D1745" s="9" t="s">
        <v>1324</v>
      </c>
      <c r="E1745" s="10" t="str">
        <f>HYPERLINK("https://twitter.com/Felisuco81/status/1070795149435904000","1070795149435904000")</f>
        <v>1070795149435904000</v>
      </c>
      <c r="F1745" s="11" t="s">
        <v>467</v>
      </c>
      <c r="G1745" s="12"/>
      <c r="H1745" s="12"/>
      <c r="I1745" s="13">
        <v>0</v>
      </c>
      <c r="J1745" s="13">
        <v>0</v>
      </c>
      <c r="K1745" s="14" t="str">
        <f>HYPERLINK("http://twitter.com","Twitter Web Client")</f>
        <v>Twitter Web Client</v>
      </c>
      <c r="L1745" s="13">
        <v>64</v>
      </c>
      <c r="M1745" s="13">
        <v>153</v>
      </c>
      <c r="N1745" s="13">
        <v>0</v>
      </c>
      <c r="O1745" s="15"/>
      <c r="P1745" s="6">
        <v>43035.943402777775</v>
      </c>
      <c r="Q1745" s="16" t="s">
        <v>60</v>
      </c>
      <c r="R1745" s="17" t="s">
        <v>6102</v>
      </c>
      <c r="S1745" s="12"/>
      <c r="T1745" s="12"/>
      <c r="U1745" s="10" t="str">
        <f>HYPERLINK("https://pbs.twimg.com/profile_images/924015975917408256/7Xk8GnkW.jpg","View")</f>
        <v>View</v>
      </c>
    </row>
    <row r="1746" spans="1:21" ht="40.799999999999997">
      <c r="A1746" s="6">
        <v>43440.944664351853</v>
      </c>
      <c r="B1746" s="7" t="str">
        <f>HYPERLINK("https://twitter.com/El_Intermedio","@El_Intermedio")</f>
        <v>@El_Intermedio</v>
      </c>
      <c r="C1746" s="8" t="s">
        <v>1595</v>
      </c>
      <c r="D1746" s="9" t="s">
        <v>6103</v>
      </c>
      <c r="E1746" s="10" t="str">
        <f>HYPERLINK("https://twitter.com/El_Intermedio/status/1070795095165808641","1070795095165808641")</f>
        <v>1070795095165808641</v>
      </c>
      <c r="F1746" s="11" t="s">
        <v>6104</v>
      </c>
      <c r="G1746" s="12"/>
      <c r="H1746" s="12"/>
      <c r="I1746" s="13">
        <v>4</v>
      </c>
      <c r="J1746" s="13">
        <v>31</v>
      </c>
      <c r="K1746" s="14" t="str">
        <f>HYPERLINK("http://dogtrack.es","DogTrack_Oficial")</f>
        <v>DogTrack_Oficial</v>
      </c>
      <c r="L1746" s="13">
        <v>1011587</v>
      </c>
      <c r="M1746" s="13">
        <v>1770</v>
      </c>
      <c r="N1746" s="13">
        <v>4854</v>
      </c>
      <c r="O1746" s="18" t="s">
        <v>41</v>
      </c>
      <c r="P1746" s="6">
        <v>39692.485879629632</v>
      </c>
      <c r="Q1746" s="16" t="s">
        <v>60</v>
      </c>
      <c r="R1746" s="17" t="s">
        <v>1598</v>
      </c>
      <c r="S1746" s="11" t="s">
        <v>1599</v>
      </c>
      <c r="T1746" s="12"/>
      <c r="U1746" s="10" t="str">
        <f>HYPERLINK("https://pbs.twimg.com/profile_images/1037049026523348992/kW9y-kbu.jpg","View")</f>
        <v>View</v>
      </c>
    </row>
    <row r="1747" spans="1:21" ht="30.6">
      <c r="A1747" s="6">
        <v>43440.944513888884</v>
      </c>
      <c r="B1747" s="7" t="str">
        <f>HYPERLINK("https://twitter.com/Vicmel25","@Vicmel25")</f>
        <v>@Vicmel25</v>
      </c>
      <c r="C1747" s="8" t="s">
        <v>6105</v>
      </c>
      <c r="D1747" s="9" t="s">
        <v>6106</v>
      </c>
      <c r="E1747" s="10" t="str">
        <f>HYPERLINK("https://twitter.com/Vicmel25/status/1070795040069320704","1070795040069320704")</f>
        <v>1070795040069320704</v>
      </c>
      <c r="F1747" s="11" t="s">
        <v>6107</v>
      </c>
      <c r="G1747" s="11" t="s">
        <v>6108</v>
      </c>
      <c r="H1747" s="12"/>
      <c r="I1747" s="13">
        <v>0</v>
      </c>
      <c r="J1747" s="13">
        <v>0</v>
      </c>
      <c r="K1747" s="14" t="str">
        <f>HYPERLINK("https://dlvrit.com/","dlvr.it")</f>
        <v>dlvr.it</v>
      </c>
      <c r="L1747" s="13">
        <v>413</v>
      </c>
      <c r="M1747" s="13">
        <v>392</v>
      </c>
      <c r="N1747" s="13">
        <v>10</v>
      </c>
      <c r="O1747" s="15"/>
      <c r="P1747" s="6">
        <v>41354.02416666667</v>
      </c>
      <c r="Q1747" s="12"/>
      <c r="R1747" s="17" t="s">
        <v>6109</v>
      </c>
      <c r="S1747" s="11" t="s">
        <v>6110</v>
      </c>
      <c r="T1747" s="12"/>
      <c r="U1747" s="10" t="str">
        <f>HYPERLINK("https://pbs.twimg.com/profile_images/438237898614136832/CnPqDARG.jpeg","View")</f>
        <v>View</v>
      </c>
    </row>
    <row r="1748" spans="1:21" ht="20.399999999999999">
      <c r="A1748" s="6">
        <v>43440.943761574075</v>
      </c>
      <c r="B1748" s="7" t="str">
        <f>HYPERLINK("https://twitter.com/sumariumcom","@sumariumcom")</f>
        <v>@sumariumcom</v>
      </c>
      <c r="C1748" s="8" t="s">
        <v>4525</v>
      </c>
      <c r="D1748" s="9" t="s">
        <v>4680</v>
      </c>
      <c r="E1748" s="10" t="str">
        <f>HYPERLINK("https://twitter.com/sumariumcom/status/1070794767750062091","1070794767750062091")</f>
        <v>1070794767750062091</v>
      </c>
      <c r="F1748" s="11" t="s">
        <v>4527</v>
      </c>
      <c r="G1748" s="11" t="s">
        <v>5738</v>
      </c>
      <c r="H1748" s="12"/>
      <c r="I1748" s="13">
        <v>1</v>
      </c>
      <c r="J1748" s="13">
        <v>1</v>
      </c>
      <c r="K1748" s="14" t="str">
        <f>HYPERLINK("https://about.twitter.com/products/tweetdeck","TweetDeck")</f>
        <v>TweetDeck</v>
      </c>
      <c r="L1748" s="13">
        <v>164401</v>
      </c>
      <c r="M1748" s="13">
        <v>996</v>
      </c>
      <c r="N1748" s="13">
        <v>1122</v>
      </c>
      <c r="O1748" s="15"/>
      <c r="P1748" s="6">
        <v>40977.809594907405</v>
      </c>
      <c r="Q1748" s="16" t="s">
        <v>4529</v>
      </c>
      <c r="R1748" s="19"/>
      <c r="S1748" s="11" t="s">
        <v>4530</v>
      </c>
      <c r="T1748" s="12"/>
      <c r="U1748" s="10" t="str">
        <f>HYPERLINK("https://pbs.twimg.com/profile_images/1061987847874469888/mok5IDTt.jpg","View")</f>
        <v>View</v>
      </c>
    </row>
    <row r="1749" spans="1:21" ht="20.399999999999999">
      <c r="A1749" s="6">
        <v>43440.943495370375</v>
      </c>
      <c r="B1749" s="7" t="str">
        <f>HYPERLINK("https://twitter.com/RadioUnionTfe","@RadioUnionTfe")</f>
        <v>@RadioUnionTfe</v>
      </c>
      <c r="C1749" s="8" t="s">
        <v>4033</v>
      </c>
      <c r="D1749" s="9" t="s">
        <v>6111</v>
      </c>
      <c r="E1749" s="10" t="str">
        <f>HYPERLINK("https://twitter.com/RadioUnionTfe/status/1070794672514179078","1070794672514179078")</f>
        <v>1070794672514179078</v>
      </c>
      <c r="F1749" s="11" t="s">
        <v>6112</v>
      </c>
      <c r="G1749" s="12"/>
      <c r="H1749" s="12"/>
      <c r="I1749" s="13">
        <v>0</v>
      </c>
      <c r="J1749" s="13">
        <v>0</v>
      </c>
      <c r="K1749" s="14" t="str">
        <f>HYPERLINK("http://twitter.com/download/android","Twitter for Android")</f>
        <v>Twitter for Android</v>
      </c>
      <c r="L1749" s="13">
        <v>170</v>
      </c>
      <c r="M1749" s="13">
        <v>63</v>
      </c>
      <c r="N1749" s="13">
        <v>1</v>
      </c>
      <c r="O1749" s="15"/>
      <c r="P1749" s="6">
        <v>40749.728564814817</v>
      </c>
      <c r="Q1749" s="12"/>
      <c r="R1749" s="19"/>
      <c r="S1749" s="12"/>
      <c r="T1749" s="12"/>
      <c r="U1749" s="10" t="str">
        <f>HYPERLINK("https://pbs.twimg.com/profile_images/912725003900211200/tvZWR99g.jpg","View")</f>
        <v>View</v>
      </c>
    </row>
    <row r="1750" spans="1:21" ht="20.399999999999999">
      <c r="A1750" s="6">
        <v>43440.943252314813</v>
      </c>
      <c r="B1750" s="7" t="str">
        <f>HYPERLINK("https://twitter.com/sumariumcom","@sumariumcom")</f>
        <v>@sumariumcom</v>
      </c>
      <c r="C1750" s="8" t="s">
        <v>4525</v>
      </c>
      <c r="D1750" s="9" t="s">
        <v>4680</v>
      </c>
      <c r="E1750" s="10" t="str">
        <f>HYPERLINK("https://twitter.com/sumariumcom/status/1070794580902244352","1070794580902244352")</f>
        <v>1070794580902244352</v>
      </c>
      <c r="F1750" s="11" t="s">
        <v>6113</v>
      </c>
      <c r="G1750" s="11" t="s">
        <v>6114</v>
      </c>
      <c r="H1750" s="12"/>
      <c r="I1750" s="13">
        <v>2</v>
      </c>
      <c r="J1750" s="13">
        <v>0</v>
      </c>
      <c r="K1750" s="14" t="str">
        <f>HYPERLINK("https://about.twitter.com/products/tweetdeck","TweetDeck")</f>
        <v>TweetDeck</v>
      </c>
      <c r="L1750" s="13">
        <v>164401</v>
      </c>
      <c r="M1750" s="13">
        <v>996</v>
      </c>
      <c r="N1750" s="13">
        <v>1122</v>
      </c>
      <c r="O1750" s="15"/>
      <c r="P1750" s="6">
        <v>40977.809594907405</v>
      </c>
      <c r="Q1750" s="16" t="s">
        <v>4529</v>
      </c>
      <c r="R1750" s="19"/>
      <c r="S1750" s="11" t="s">
        <v>4530</v>
      </c>
      <c r="T1750" s="12"/>
      <c r="U1750" s="10" t="str">
        <f>HYPERLINK("https://pbs.twimg.com/profile_images/1061987847874469888/mok5IDTt.jpg","View")</f>
        <v>View</v>
      </c>
    </row>
    <row r="1751" spans="1:21" ht="71.400000000000006">
      <c r="A1751" s="6">
        <v>43440.941504629634</v>
      </c>
      <c r="B1751" s="7" t="str">
        <f>HYPERLINK("https://twitter.com/El_Doctor_Zaius","@El_Doctor_Zaius")</f>
        <v>@El_Doctor_Zaius</v>
      </c>
      <c r="C1751" s="8" t="s">
        <v>6115</v>
      </c>
      <c r="D1751" s="9" t="s">
        <v>6116</v>
      </c>
      <c r="E1751" s="10" t="str">
        <f>HYPERLINK("https://twitter.com/El_Doctor_Zaius/status/1070793947549700098","1070793947549700098")</f>
        <v>1070793947549700098</v>
      </c>
      <c r="F1751" s="11" t="s">
        <v>54</v>
      </c>
      <c r="G1751" s="11" t="s">
        <v>55</v>
      </c>
      <c r="H1751" s="12"/>
      <c r="I1751" s="13">
        <v>1</v>
      </c>
      <c r="J1751" s="13">
        <v>1</v>
      </c>
      <c r="K1751" s="14" t="str">
        <f>HYPERLINK("https://mobile.twitter.com","Twitter Lite")</f>
        <v>Twitter Lite</v>
      </c>
      <c r="L1751" s="13">
        <v>944</v>
      </c>
      <c r="M1751" s="13">
        <v>549</v>
      </c>
      <c r="N1751" s="13">
        <v>10</v>
      </c>
      <c r="O1751" s="15"/>
      <c r="P1751" s="6">
        <v>40598.06895833333</v>
      </c>
      <c r="Q1751" s="16" t="s">
        <v>6117</v>
      </c>
      <c r="R1751" s="17" t="s">
        <v>6118</v>
      </c>
      <c r="S1751" s="12"/>
      <c r="T1751" s="12"/>
      <c r="U1751" s="10" t="str">
        <f>HYPERLINK("https://pbs.twimg.com/profile_images/2943718245/8a924d447d3d53cbd3226f546dc3dd95.jpeg","View")</f>
        <v>View</v>
      </c>
    </row>
    <row r="1752" spans="1:21" ht="102">
      <c r="A1752" s="6">
        <v>43440.939826388887</v>
      </c>
      <c r="B1752" s="7" t="str">
        <f>HYPERLINK("https://twitter.com/LuisJavierSanj2","@LuisJavierSanj2")</f>
        <v>@LuisJavierSanj2</v>
      </c>
      <c r="C1752" s="8" t="s">
        <v>3551</v>
      </c>
      <c r="D1752" s="9" t="s">
        <v>6121</v>
      </c>
      <c r="E1752" s="10" t="str">
        <f>HYPERLINK("https://twitter.com/LuisJavierSanj2/status/1070793341917413377","1070793341917413377")</f>
        <v>1070793341917413377</v>
      </c>
      <c r="F1752" s="11" t="s">
        <v>5205</v>
      </c>
      <c r="G1752" s="11" t="s">
        <v>5206</v>
      </c>
      <c r="H1752" s="12"/>
      <c r="I1752" s="13">
        <v>0</v>
      </c>
      <c r="J1752" s="13">
        <v>4</v>
      </c>
      <c r="K1752" s="14" t="str">
        <f>HYPERLINK("http://twitter.com/download/android","Twitter for Android")</f>
        <v>Twitter for Android</v>
      </c>
      <c r="L1752" s="13">
        <v>806</v>
      </c>
      <c r="M1752" s="13">
        <v>1244</v>
      </c>
      <c r="N1752" s="13">
        <v>1</v>
      </c>
      <c r="O1752" s="15"/>
      <c r="P1752" s="6">
        <v>43017.871759259258</v>
      </c>
      <c r="Q1752" s="12"/>
      <c r="R1752" s="17" t="s">
        <v>3553</v>
      </c>
      <c r="S1752" s="12"/>
      <c r="T1752" s="12"/>
      <c r="U1752" s="10" t="str">
        <f>HYPERLINK("https://pbs.twimg.com/profile_images/983037090681245696/C-KQIcbF.jpg","View")</f>
        <v>View</v>
      </c>
    </row>
    <row r="1753" spans="1:21" ht="40.799999999999997">
      <c r="A1753" s="6">
        <v>43440.939340277779</v>
      </c>
      <c r="B1753" s="7" t="str">
        <f>HYPERLINK("https://twitter.com/DessyNMVC","@DessyNMVC")</f>
        <v>@DessyNMVC</v>
      </c>
      <c r="C1753" s="8" t="s">
        <v>6124</v>
      </c>
      <c r="D1753" s="9" t="s">
        <v>6125</v>
      </c>
      <c r="E1753" s="10" t="str">
        <f>HYPERLINK("https://twitter.com/DessyNMVC/status/1070793166322847745","1070793166322847745")</f>
        <v>1070793166322847745</v>
      </c>
      <c r="F1753" s="11" t="s">
        <v>246</v>
      </c>
      <c r="G1753" s="12"/>
      <c r="H1753" s="12"/>
      <c r="I1753" s="13">
        <v>0</v>
      </c>
      <c r="J1753" s="13">
        <v>0</v>
      </c>
      <c r="K1753" s="14" t="str">
        <f>HYPERLINK("http://twitter.com/download/iphone","Twitter for iPhone")</f>
        <v>Twitter for iPhone</v>
      </c>
      <c r="L1753" s="13">
        <v>138</v>
      </c>
      <c r="M1753" s="13">
        <v>358</v>
      </c>
      <c r="N1753" s="13">
        <v>0</v>
      </c>
      <c r="O1753" s="15"/>
      <c r="P1753" s="6">
        <v>43184.749050925922</v>
      </c>
      <c r="Q1753" s="12"/>
      <c r="R1753" s="19"/>
      <c r="S1753" s="12"/>
      <c r="T1753" s="12"/>
      <c r="U1753" s="10" t="str">
        <f>HYPERLINK("https://pbs.twimg.com/profile_images/1039944825792020481/VtVmzXCz.jpg","View")</f>
        <v>View</v>
      </c>
    </row>
    <row r="1754" spans="1:21" ht="51">
      <c r="A1754" s="6">
        <v>43440.938680555555</v>
      </c>
      <c r="B1754" s="7" t="str">
        <f>HYPERLINK("https://twitter.com/universalsevil1","@universalsevil1")</f>
        <v>@universalsevil1</v>
      </c>
      <c r="C1754" s="8" t="s">
        <v>1078</v>
      </c>
      <c r="D1754" s="9" t="s">
        <v>6126</v>
      </c>
      <c r="E1754" s="10" t="str">
        <f>HYPERLINK("https://twitter.com/universalsevil1/status/1070792927180410882","1070792927180410882")</f>
        <v>1070792927180410882</v>
      </c>
      <c r="F1754" s="12"/>
      <c r="G1754" s="11" t="s">
        <v>6127</v>
      </c>
      <c r="H1754" s="12"/>
      <c r="I1754" s="13">
        <v>0</v>
      </c>
      <c r="J1754" s="13">
        <v>0</v>
      </c>
      <c r="K1754" s="14" t="str">
        <f>HYPERLINK("http://twitter.com/download/android","Twitter for Android")</f>
        <v>Twitter for Android</v>
      </c>
      <c r="L1754" s="13">
        <v>412</v>
      </c>
      <c r="M1754" s="13">
        <v>694</v>
      </c>
      <c r="N1754" s="13">
        <v>7</v>
      </c>
      <c r="O1754" s="15"/>
      <c r="P1754" s="6">
        <v>42373.857349537036</v>
      </c>
      <c r="Q1754" s="12"/>
      <c r="R1754" s="19"/>
      <c r="S1754" s="12"/>
      <c r="T1754" s="12"/>
      <c r="U1754" s="10" t="str">
        <f>HYPERLINK("https://pbs.twimg.com/profile_images/990336265085177857/jUe7wYwz.jpg","View")</f>
        <v>View</v>
      </c>
    </row>
    <row r="1755" spans="1:21" ht="30.6">
      <c r="A1755" s="6">
        <v>43440.938159722224</v>
      </c>
      <c r="B1755" s="7" t="str">
        <f>HYPERLINK("https://twitter.com/CofranFrancis","@CofranFrancis")</f>
        <v>@CofranFrancis</v>
      </c>
      <c r="C1755" s="8" t="s">
        <v>2247</v>
      </c>
      <c r="D1755" s="9" t="s">
        <v>6128</v>
      </c>
      <c r="E1755" s="10" t="str">
        <f>HYPERLINK("https://twitter.com/CofranFrancis/status/1070792734863228928","1070792734863228928")</f>
        <v>1070792734863228928</v>
      </c>
      <c r="F1755" s="11" t="s">
        <v>6129</v>
      </c>
      <c r="G1755" s="12"/>
      <c r="H1755" s="12"/>
      <c r="I1755" s="13">
        <v>0</v>
      </c>
      <c r="J1755" s="13">
        <v>0</v>
      </c>
      <c r="K1755" s="14" t="str">
        <f>HYPERLINK("http://twitter.com","Twitter Web Client")</f>
        <v>Twitter Web Client</v>
      </c>
      <c r="L1755" s="13">
        <v>31</v>
      </c>
      <c r="M1755" s="13">
        <v>111</v>
      </c>
      <c r="N1755" s="13">
        <v>1</v>
      </c>
      <c r="O1755" s="15"/>
      <c r="P1755" s="6">
        <v>43192.507164351853</v>
      </c>
      <c r="Q1755" s="16" t="s">
        <v>2250</v>
      </c>
      <c r="R1755" s="17" t="s">
        <v>2251</v>
      </c>
      <c r="S1755" s="12"/>
      <c r="T1755" s="12"/>
      <c r="U1755" s="10" t="str">
        <f>HYPERLINK("https://pbs.twimg.com/profile_images/1061378643325280256/n03DucG4.jpg","View")</f>
        <v>View</v>
      </c>
    </row>
    <row r="1756" spans="1:21" ht="51">
      <c r="A1756" s="6">
        <v>43440.937754629631</v>
      </c>
      <c r="B1756" s="7" t="str">
        <f>HYPERLINK("https://twitter.com/facundosuarez21","@facundosuarez21")</f>
        <v>@facundosuarez21</v>
      </c>
      <c r="C1756" s="8" t="s">
        <v>6130</v>
      </c>
      <c r="D1756" s="9" t="s">
        <v>6131</v>
      </c>
      <c r="E1756" s="10" t="str">
        <f>HYPERLINK("https://twitter.com/facundosuarez21/status/1070792588452605952","1070792588452605952")</f>
        <v>1070792588452605952</v>
      </c>
      <c r="F1756" s="12"/>
      <c r="G1756" s="12"/>
      <c r="H1756" s="12"/>
      <c r="I1756" s="13">
        <v>1</v>
      </c>
      <c r="J1756" s="13">
        <v>13</v>
      </c>
      <c r="K1756" s="14" t="str">
        <f>HYPERLINK("http://twitter.com/download/android","Twitter for Android")</f>
        <v>Twitter for Android</v>
      </c>
      <c r="L1756" s="13">
        <v>2098</v>
      </c>
      <c r="M1756" s="13">
        <v>2652</v>
      </c>
      <c r="N1756" s="13">
        <v>22</v>
      </c>
      <c r="O1756" s="15"/>
      <c r="P1756" s="6">
        <v>40310.024444444447</v>
      </c>
      <c r="Q1756" s="16" t="s">
        <v>6132</v>
      </c>
      <c r="R1756" s="17" t="s">
        <v>6133</v>
      </c>
      <c r="S1756" s="12"/>
      <c r="T1756" s="12"/>
      <c r="U1756" s="10" t="str">
        <f>HYPERLINK("https://pbs.twimg.com/profile_images/648238659313999872/3dfI69eh.jpg","View")</f>
        <v>View</v>
      </c>
    </row>
    <row r="1757" spans="1:21" ht="40.799999999999997">
      <c r="A1757" s="6">
        <v>43440.9375</v>
      </c>
      <c r="B1757" s="7" t="str">
        <f>HYPERLINK("https://twitter.com/20m","@20m")</f>
        <v>@20m</v>
      </c>
      <c r="C1757" s="20" t="s">
        <v>703</v>
      </c>
      <c r="D1757" s="9" t="s">
        <v>6111</v>
      </c>
      <c r="E1757" s="10" t="str">
        <f>HYPERLINK("https://twitter.com/20m/status/1070792499227168769","1070792499227168769")</f>
        <v>1070792499227168769</v>
      </c>
      <c r="F1757" s="11" t="s">
        <v>6112</v>
      </c>
      <c r="G1757" s="12"/>
      <c r="H1757" s="12"/>
      <c r="I1757" s="13">
        <v>7</v>
      </c>
      <c r="J1757" s="13">
        <v>23</v>
      </c>
      <c r="K1757" s="14" t="str">
        <f>HYPERLINK("http://dogtrack.es","DogTrack_Oficial")</f>
        <v>DogTrack_Oficial</v>
      </c>
      <c r="L1757" s="13">
        <v>1353523</v>
      </c>
      <c r="M1757" s="13">
        <v>51093</v>
      </c>
      <c r="N1757" s="13">
        <v>14084</v>
      </c>
      <c r="O1757" s="18" t="s">
        <v>41</v>
      </c>
      <c r="P1757" s="6">
        <v>39917.485891203702</v>
      </c>
      <c r="Q1757" s="16" t="s">
        <v>119</v>
      </c>
      <c r="R1757" s="17" t="s">
        <v>704</v>
      </c>
      <c r="S1757" s="11" t="s">
        <v>705</v>
      </c>
      <c r="T1757" s="12"/>
      <c r="U1757" s="10" t="str">
        <f>HYPERLINK("https://pbs.twimg.com/profile_images/1013670314285420544/gwCE6EJr.jpg","View")</f>
        <v>View</v>
      </c>
    </row>
    <row r="1758" spans="1:21" ht="20.399999999999999">
      <c r="A1758" s="6">
        <v>43440.937384259261</v>
      </c>
      <c r="B1758" s="7" t="str">
        <f>HYPERLINK("https://twitter.com/nachocardero","@nachocardero")</f>
        <v>@nachocardero</v>
      </c>
      <c r="C1758" s="8" t="s">
        <v>6134</v>
      </c>
      <c r="D1758" s="9" t="s">
        <v>6135</v>
      </c>
      <c r="E1758" s="10" t="str">
        <f>HYPERLINK("https://twitter.com/nachocardero/status/1070792457120636928","1070792457120636928")</f>
        <v>1070792457120636928</v>
      </c>
      <c r="F1758" s="11" t="s">
        <v>6136</v>
      </c>
      <c r="G1758" s="12"/>
      <c r="H1758" s="12"/>
      <c r="I1758" s="13">
        <v>0</v>
      </c>
      <c r="J1758" s="13">
        <v>2</v>
      </c>
      <c r="K1758" s="14" t="str">
        <f>HYPERLINK("http://twitter.com","Twitter Web Client")</f>
        <v>Twitter Web Client</v>
      </c>
      <c r="L1758" s="13">
        <v>6259</v>
      </c>
      <c r="M1758" s="13">
        <v>818</v>
      </c>
      <c r="N1758" s="13">
        <v>249</v>
      </c>
      <c r="O1758" s="15"/>
      <c r="P1758" s="6">
        <v>40122.806307870371</v>
      </c>
      <c r="Q1758" s="12"/>
      <c r="R1758" s="17" t="s">
        <v>6137</v>
      </c>
      <c r="S1758" s="11" t="s">
        <v>6138</v>
      </c>
      <c r="T1758" s="12"/>
      <c r="U1758" s="10" t="str">
        <f>HYPERLINK("https://pbs.twimg.com/profile_images/2698108319/53d41e25426f1f5bd5b31347c4d4b84c.jpeg","View")</f>
        <v>View</v>
      </c>
    </row>
    <row r="1759" spans="1:21" ht="20.399999999999999">
      <c r="A1759" s="6">
        <v>43440.937384259261</v>
      </c>
      <c r="B1759" s="7" t="str">
        <f>HYPERLINK("https://twitter.com/EP_EEUU","@EP_EEUU")</f>
        <v>@EP_EEUU</v>
      </c>
      <c r="C1759" s="8" t="s">
        <v>3660</v>
      </c>
      <c r="D1759" s="9" t="s">
        <v>2756</v>
      </c>
      <c r="E1759" s="10" t="str">
        <f>HYPERLINK("https://twitter.com/EP_EEUU/status/1070792454914351105","1070792454914351105")</f>
        <v>1070792454914351105</v>
      </c>
      <c r="F1759" s="11" t="s">
        <v>3688</v>
      </c>
      <c r="G1759" s="11" t="s">
        <v>6140</v>
      </c>
      <c r="H1759" s="12"/>
      <c r="I1759" s="13">
        <v>0</v>
      </c>
      <c r="J1759" s="13">
        <v>0</v>
      </c>
      <c r="K1759" s="14" t="str">
        <f>HYPERLINK("http://epmundo.com","Tuiteo TOP EP (3)")</f>
        <v>Tuiteo TOP EP (3)</v>
      </c>
      <c r="L1759" s="13">
        <v>71603</v>
      </c>
      <c r="M1759" s="13">
        <v>69780</v>
      </c>
      <c r="N1759" s="13">
        <v>227</v>
      </c>
      <c r="O1759" s="15"/>
      <c r="P1759" s="6">
        <v>40710.977870370371</v>
      </c>
      <c r="Q1759" s="16" t="s">
        <v>3662</v>
      </c>
      <c r="R1759" s="17" t="s">
        <v>3663</v>
      </c>
      <c r="S1759" s="11" t="s">
        <v>3664</v>
      </c>
      <c r="T1759" s="12"/>
      <c r="U1759" s="10" t="str">
        <f>HYPERLINK("https://pbs.twimg.com/profile_images/958331773171191808/TAv5yST9.jpg","View")</f>
        <v>View</v>
      </c>
    </row>
    <row r="1760" spans="1:21" ht="102">
      <c r="A1760" s="6">
        <v>43440.93712962963</v>
      </c>
      <c r="B1760" s="7" t="str">
        <f>HYPERLINK("https://twitter.com/MiguelDeLaPeaP2","@MiguelDeLaPeaP2")</f>
        <v>@MiguelDeLaPeaP2</v>
      </c>
      <c r="C1760" s="8" t="s">
        <v>6142</v>
      </c>
      <c r="D1760" s="9" t="s">
        <v>6143</v>
      </c>
      <c r="E1760" s="10" t="str">
        <f>HYPERLINK("https://twitter.com/MiguelDeLaPeaP2/status/1070792363155562498","1070792363155562498")</f>
        <v>1070792363155562498</v>
      </c>
      <c r="F1760" s="16" t="s">
        <v>6144</v>
      </c>
      <c r="G1760" s="12"/>
      <c r="H1760" s="12"/>
      <c r="I1760" s="13">
        <v>0</v>
      </c>
      <c r="J1760" s="13">
        <v>0</v>
      </c>
      <c r="K1760" s="14" t="str">
        <f t="shared" ref="K1760:K1761" si="304">HYPERLINK("http://twitter.com/download/android","Twitter for Android")</f>
        <v>Twitter for Android</v>
      </c>
      <c r="L1760" s="13">
        <v>1327</v>
      </c>
      <c r="M1760" s="13">
        <v>1752</v>
      </c>
      <c r="N1760" s="13">
        <v>9</v>
      </c>
      <c r="O1760" s="15"/>
      <c r="P1760" s="6">
        <v>42782.739085648151</v>
      </c>
      <c r="Q1760" s="16" t="s">
        <v>87</v>
      </c>
      <c r="R1760" s="17" t="s">
        <v>6145</v>
      </c>
      <c r="S1760" s="12"/>
      <c r="T1760" s="12"/>
      <c r="U1760" s="10" t="str">
        <f>HYPERLINK("https://pbs.twimg.com/profile_images/1003587874690945024/F_gd42-n.jpg","View")</f>
        <v>View</v>
      </c>
    </row>
    <row r="1761" spans="1:21" ht="30.6">
      <c r="A1761" s="6">
        <v>43440.936331018514</v>
      </c>
      <c r="B1761" s="7" t="str">
        <f>HYPERLINK("https://twitter.com/claega_clara","@claega_clara")</f>
        <v>@claega_clara</v>
      </c>
      <c r="C1761" s="8" t="s">
        <v>6146</v>
      </c>
      <c r="D1761" s="9" t="s">
        <v>4416</v>
      </c>
      <c r="E1761" s="10" t="str">
        <f>HYPERLINK("https://twitter.com/claega_clara/status/1070792073257865216","1070792073257865216")</f>
        <v>1070792073257865216</v>
      </c>
      <c r="F1761" s="11" t="s">
        <v>6147</v>
      </c>
      <c r="G1761" s="12"/>
      <c r="H1761" s="12"/>
      <c r="I1761" s="13">
        <v>3</v>
      </c>
      <c r="J1761" s="13">
        <v>1</v>
      </c>
      <c r="K1761" s="14" t="str">
        <f t="shared" si="304"/>
        <v>Twitter for Android</v>
      </c>
      <c r="L1761" s="13">
        <v>5396</v>
      </c>
      <c r="M1761" s="13">
        <v>4009</v>
      </c>
      <c r="N1761" s="13">
        <v>34</v>
      </c>
      <c r="O1761" s="15"/>
      <c r="P1761" s="6">
        <v>41392.988067129627</v>
      </c>
      <c r="Q1761" s="12"/>
      <c r="R1761" s="17" t="s">
        <v>6148</v>
      </c>
      <c r="S1761" s="12"/>
      <c r="T1761" s="12"/>
      <c r="U1761" s="10" t="str">
        <f>HYPERLINK("https://pbs.twimg.com/profile_images/1054323017176834048/5v_78iKi.jpg","View")</f>
        <v>View</v>
      </c>
    </row>
    <row r="1762" spans="1:21" ht="51">
      <c r="A1762" s="6">
        <v>43440.933587962965</v>
      </c>
      <c r="B1762" s="7" t="str">
        <f>HYPERLINK("https://twitter.com/PoderContra","@PoderContra")</f>
        <v>@PoderContra</v>
      </c>
      <c r="C1762" s="8" t="s">
        <v>233</v>
      </c>
      <c r="D1762" s="9" t="s">
        <v>234</v>
      </c>
      <c r="E1762" s="10" t="str">
        <f>HYPERLINK("https://twitter.com/PoderContra/status/1070791080533221376","1070791080533221376")</f>
        <v>1070791080533221376</v>
      </c>
      <c r="F1762" s="12"/>
      <c r="G1762" s="12"/>
      <c r="H1762" s="12"/>
      <c r="I1762" s="13">
        <v>0</v>
      </c>
      <c r="J1762" s="13">
        <v>2</v>
      </c>
      <c r="K1762" s="14" t="str">
        <f>HYPERLINK("http://twitter.com","Twitter Web Client")</f>
        <v>Twitter Web Client</v>
      </c>
      <c r="L1762" s="13">
        <v>1111</v>
      </c>
      <c r="M1762" s="13">
        <v>1673</v>
      </c>
      <c r="N1762" s="13">
        <v>0</v>
      </c>
      <c r="O1762" s="15"/>
      <c r="P1762" s="6">
        <v>43331.769074074073</v>
      </c>
      <c r="Q1762" s="16" t="s">
        <v>237</v>
      </c>
      <c r="R1762" s="17" t="s">
        <v>238</v>
      </c>
      <c r="S1762" s="12"/>
      <c r="T1762" s="12"/>
      <c r="U1762" s="10" t="str">
        <f>HYPERLINK("https://pbs.twimg.com/profile_images/1031217517736419329/ueWoRCcX.jpg","View")</f>
        <v>View</v>
      </c>
    </row>
    <row r="1763" spans="1:21" ht="20.399999999999999">
      <c r="A1763" s="6">
        <v>43440.932962962965</v>
      </c>
      <c r="B1763" s="7" t="str">
        <f>HYPERLINK("https://twitter.com/Eduagri1","@Eduagri1")</f>
        <v>@Eduagri1</v>
      </c>
      <c r="C1763" s="8" t="s">
        <v>6149</v>
      </c>
      <c r="D1763" s="9" t="s">
        <v>6150</v>
      </c>
      <c r="E1763" s="10" t="str">
        <f>HYPERLINK("https://twitter.com/Eduagri1/status/1070790852715401216","1070790852715401216")</f>
        <v>1070790852715401216</v>
      </c>
      <c r="F1763" s="11" t="s">
        <v>5253</v>
      </c>
      <c r="G1763" s="12"/>
      <c r="H1763" s="12"/>
      <c r="I1763" s="13">
        <v>1</v>
      </c>
      <c r="J1763" s="13">
        <v>1</v>
      </c>
      <c r="K1763" s="14" t="str">
        <f>HYPERLINK("http://twitter.com/#!/download/ipad","Twitter for iPad")</f>
        <v>Twitter for iPad</v>
      </c>
      <c r="L1763" s="13">
        <v>46</v>
      </c>
      <c r="M1763" s="13">
        <v>218</v>
      </c>
      <c r="N1763" s="13">
        <v>0</v>
      </c>
      <c r="O1763" s="15"/>
      <c r="P1763" s="6">
        <v>43411.883391203708</v>
      </c>
      <c r="Q1763" s="12"/>
      <c r="R1763" s="17" t="s">
        <v>6151</v>
      </c>
      <c r="S1763" s="12"/>
      <c r="T1763" s="12"/>
      <c r="U1763" s="10" t="str">
        <f>HYPERLINK("https://pbs.twimg.com/profile_images/1060265091982155778/Y7y4Ow9L.jpg","View")</f>
        <v>View</v>
      </c>
    </row>
    <row r="1764" spans="1:21" ht="40.799999999999997">
      <c r="A1764" s="6">
        <v>43440.932488425926</v>
      </c>
      <c r="B1764" s="7" t="str">
        <f>HYPERLINK("https://twitter.com/EmblaFrau","@EmblaFrau")</f>
        <v>@EmblaFrau</v>
      </c>
      <c r="C1764" s="8" t="s">
        <v>6009</v>
      </c>
      <c r="D1764" s="9" t="s">
        <v>6010</v>
      </c>
      <c r="E1764" s="10" t="str">
        <f>HYPERLINK("https://twitter.com/EmblaFrau/status/1070790679767474177","1070790679767474177")</f>
        <v>1070790679767474177</v>
      </c>
      <c r="F1764" s="11" t="s">
        <v>246</v>
      </c>
      <c r="G1764" s="12"/>
      <c r="H1764" s="12"/>
      <c r="I1764" s="13">
        <v>4</v>
      </c>
      <c r="J1764" s="13">
        <v>3</v>
      </c>
      <c r="K1764" s="14" t="str">
        <f t="shared" ref="K1764:K1765" si="305">HYPERLINK("http://twitter.com/download/android","Twitter for Android")</f>
        <v>Twitter for Android</v>
      </c>
      <c r="L1764" s="13">
        <v>1254</v>
      </c>
      <c r="M1764" s="13">
        <v>546</v>
      </c>
      <c r="N1764" s="13">
        <v>2</v>
      </c>
      <c r="O1764" s="15"/>
      <c r="P1764" s="6">
        <v>43204.030486111107</v>
      </c>
      <c r="Q1764" s="16" t="s">
        <v>60</v>
      </c>
      <c r="R1764" s="17" t="s">
        <v>6013</v>
      </c>
      <c r="S1764" s="12"/>
      <c r="T1764" s="12"/>
      <c r="U1764" s="10" t="str">
        <f>HYPERLINK("https://pbs.twimg.com/profile_images/985568601900974080/Ef5E7gWX.jpg","View")</f>
        <v>View</v>
      </c>
    </row>
    <row r="1765" spans="1:21" ht="30.6">
      <c r="A1765" s="6">
        <v>43440.93204861111</v>
      </c>
      <c r="B1765" s="7" t="str">
        <f>HYPERLINK("https://twitter.com/roserous_rosa","@roserous_rosa")</f>
        <v>@roserous_rosa</v>
      </c>
      <c r="C1765" s="8" t="s">
        <v>6152</v>
      </c>
      <c r="D1765" s="9" t="s">
        <v>6153</v>
      </c>
      <c r="E1765" s="10" t="str">
        <f>HYPERLINK("https://twitter.com/roserous_rosa/status/1070790520954372099","1070790520954372099")</f>
        <v>1070790520954372099</v>
      </c>
      <c r="F1765" s="11" t="s">
        <v>246</v>
      </c>
      <c r="G1765" s="12"/>
      <c r="H1765" s="12"/>
      <c r="I1765" s="13">
        <v>0</v>
      </c>
      <c r="J1765" s="13">
        <v>0</v>
      </c>
      <c r="K1765" s="14" t="str">
        <f t="shared" si="305"/>
        <v>Twitter for Android</v>
      </c>
      <c r="L1765" s="13">
        <v>828</v>
      </c>
      <c r="M1765" s="13">
        <v>395</v>
      </c>
      <c r="N1765" s="13">
        <v>2</v>
      </c>
      <c r="O1765" s="15"/>
      <c r="P1765" s="6">
        <v>42231.630868055552</v>
      </c>
      <c r="Q1765" s="12"/>
      <c r="R1765" s="19"/>
      <c r="S1765" s="12"/>
      <c r="T1765" s="12"/>
      <c r="U1765" s="10" t="str">
        <f>HYPERLINK("https://pbs.twimg.com/profile_images/1064657908640698368/Ic8yz8em.jpg","View")</f>
        <v>View</v>
      </c>
    </row>
    <row r="1766" spans="1:21" ht="20.399999999999999">
      <c r="A1766" s="6">
        <v>43440.931203703702</v>
      </c>
      <c r="B1766" s="7" t="str">
        <f>HYPERLINK("https://twitter.com/JoeyCarbonara","@JoeyCarbonara")</f>
        <v>@JoeyCarbonara</v>
      </c>
      <c r="C1766" s="8" t="s">
        <v>6154</v>
      </c>
      <c r="D1766" s="9" t="s">
        <v>1791</v>
      </c>
      <c r="E1766" s="10" t="str">
        <f>HYPERLINK("https://twitter.com/JoeyCarbonara/status/1070790215915122688","1070790215915122688")</f>
        <v>1070790215915122688</v>
      </c>
      <c r="F1766" s="11" t="s">
        <v>6155</v>
      </c>
      <c r="G1766" s="11" t="s">
        <v>6156</v>
      </c>
      <c r="H1766" s="12"/>
      <c r="I1766" s="13">
        <v>0</v>
      </c>
      <c r="J1766" s="13">
        <v>0</v>
      </c>
      <c r="K1766" s="14" t="str">
        <f>HYPERLINK("https://dlvrit.com/","dlvr.it")</f>
        <v>dlvr.it</v>
      </c>
      <c r="L1766" s="13">
        <v>5224</v>
      </c>
      <c r="M1766" s="13">
        <v>4292</v>
      </c>
      <c r="N1766" s="13">
        <v>67</v>
      </c>
      <c r="O1766" s="15"/>
      <c r="P1766" s="6">
        <v>40029.822314814817</v>
      </c>
      <c r="Q1766" s="12"/>
      <c r="R1766" s="17" t="s">
        <v>6157</v>
      </c>
      <c r="S1766" s="12"/>
      <c r="T1766" s="12"/>
      <c r="U1766" s="10" t="str">
        <f>HYPERLINK("https://pbs.twimg.com/profile_images/612931379542802432/6jXpIUO1.png","View")</f>
        <v>View</v>
      </c>
    </row>
    <row r="1767" spans="1:21" ht="30.6">
      <c r="A1767" s="6">
        <v>43440.930775462963</v>
      </c>
      <c r="B1767" s="7" t="str">
        <f>HYPERLINK("https://twitter.com/Mariang38751193","@Mariang38751193")</f>
        <v>@Mariang38751193</v>
      </c>
      <c r="C1767" s="8" t="s">
        <v>6158</v>
      </c>
      <c r="D1767" s="9" t="s">
        <v>1514</v>
      </c>
      <c r="E1767" s="10" t="str">
        <f>HYPERLINK("https://twitter.com/Mariang38751193/status/1070790062286274560","1070790062286274560")</f>
        <v>1070790062286274560</v>
      </c>
      <c r="F1767" s="11" t="s">
        <v>246</v>
      </c>
      <c r="G1767" s="12"/>
      <c r="H1767" s="12"/>
      <c r="I1767" s="13">
        <v>10</v>
      </c>
      <c r="J1767" s="13">
        <v>4</v>
      </c>
      <c r="K1767" s="14" t="str">
        <f>HYPERLINK("http://twitter.com/download/android","Twitter for Android")</f>
        <v>Twitter for Android</v>
      </c>
      <c r="L1767" s="13">
        <v>100</v>
      </c>
      <c r="M1767" s="13">
        <v>407</v>
      </c>
      <c r="N1767" s="13">
        <v>0</v>
      </c>
      <c r="O1767" s="15"/>
      <c r="P1767" s="6">
        <v>42516.982002314813</v>
      </c>
      <c r="Q1767" s="12"/>
      <c r="R1767" s="19"/>
      <c r="S1767" s="12"/>
      <c r="T1767" s="12"/>
      <c r="U1767" s="10" t="str">
        <f>HYPERLINK("https://pbs.twimg.com/profile_images/1045922695693692928/Mzy86Aru.jpg","View")</f>
        <v>View</v>
      </c>
    </row>
    <row r="1768" spans="1:21" ht="20.399999999999999">
      <c r="A1768" s="6">
        <v>43440.930555555555</v>
      </c>
      <c r="B1768" s="7" t="str">
        <f>HYPERLINK("https://twitter.com/eldiarioes","@eldiarioes")</f>
        <v>@eldiarioes</v>
      </c>
      <c r="C1768" s="20" t="s">
        <v>642</v>
      </c>
      <c r="D1768" s="9" t="s">
        <v>2521</v>
      </c>
      <c r="E1768" s="10" t="str">
        <f>HYPERLINK("https://twitter.com/eldiarioes/status/1070789982233812997","1070789982233812997")</f>
        <v>1070789982233812997</v>
      </c>
      <c r="F1768" s="11" t="s">
        <v>3202</v>
      </c>
      <c r="G1768" s="11" t="s">
        <v>5961</v>
      </c>
      <c r="H1768" s="12"/>
      <c r="I1768" s="13">
        <v>14</v>
      </c>
      <c r="J1768" s="13">
        <v>31</v>
      </c>
      <c r="K1768" s="14" t="str">
        <f t="shared" ref="K1768:K1769" si="306">HYPERLINK("https://about.twitter.com/products/tweetdeck","TweetDeck")</f>
        <v>TweetDeck</v>
      </c>
      <c r="L1768" s="13">
        <v>940168</v>
      </c>
      <c r="M1768" s="13">
        <v>456</v>
      </c>
      <c r="N1768" s="13">
        <v>11262</v>
      </c>
      <c r="O1768" s="18" t="s">
        <v>41</v>
      </c>
      <c r="P1768" s="6">
        <v>40992.839189814811</v>
      </c>
      <c r="Q1768" s="12"/>
      <c r="R1768" s="17" t="s">
        <v>643</v>
      </c>
      <c r="S1768" s="11" t="s">
        <v>644</v>
      </c>
      <c r="T1768" s="12"/>
      <c r="U1768" s="10" t="str">
        <f>HYPERLINK("https://pbs.twimg.com/profile_images/1016600645292511232/eYIkIK2s.jpg","View")</f>
        <v>View</v>
      </c>
    </row>
    <row r="1769" spans="1:21" ht="51">
      <c r="A1769" s="6">
        <v>43440.930555555555</v>
      </c>
      <c r="B1769" s="7" t="str">
        <f>HYPERLINK("https://twitter.com/caval100","@caval100")</f>
        <v>@caval100</v>
      </c>
      <c r="C1769" s="8" t="s">
        <v>501</v>
      </c>
      <c r="D1769" s="9" t="s">
        <v>6159</v>
      </c>
      <c r="E1769" s="10" t="str">
        <f>HYPERLINK("https://twitter.com/caval100/status/1070789980673368064","1070789980673368064")</f>
        <v>1070789980673368064</v>
      </c>
      <c r="F1769" s="11" t="s">
        <v>4366</v>
      </c>
      <c r="G1769" s="12"/>
      <c r="H1769" s="12"/>
      <c r="I1769" s="13">
        <v>0</v>
      </c>
      <c r="J1769" s="13">
        <v>1</v>
      </c>
      <c r="K1769" s="14" t="str">
        <f t="shared" si="306"/>
        <v>TweetDeck</v>
      </c>
      <c r="L1769" s="13">
        <v>119343</v>
      </c>
      <c r="M1769" s="13">
        <v>94000</v>
      </c>
      <c r="N1769" s="13">
        <v>982</v>
      </c>
      <c r="O1769" s="15"/>
      <c r="P1769" s="6">
        <v>40079.437094907407</v>
      </c>
      <c r="Q1769" s="16" t="s">
        <v>505</v>
      </c>
      <c r="R1769" s="17" t="s">
        <v>506</v>
      </c>
      <c r="S1769" s="11" t="s">
        <v>507</v>
      </c>
      <c r="T1769" s="12"/>
      <c r="U1769" s="10" t="str">
        <f>HYPERLINK("https://pbs.twimg.com/profile_images/965350678301429760/uvGI7g8U.jpg","View")</f>
        <v>View</v>
      </c>
    </row>
    <row r="1770" spans="1:21" ht="30.6">
      <c r="A1770" s="6">
        <v>43440.93032407407</v>
      </c>
      <c r="B1770" s="7" t="str">
        <f>HYPERLINK("https://twitter.com/AlbertoArribasM","@AlbertoArribasM")</f>
        <v>@AlbertoArribasM</v>
      </c>
      <c r="C1770" s="8" t="s">
        <v>6160</v>
      </c>
      <c r="D1770" s="9" t="s">
        <v>6161</v>
      </c>
      <c r="E1770" s="10" t="str">
        <f>HYPERLINK("https://twitter.com/AlbertoArribasM/status/1070789899417210880","1070789899417210880")</f>
        <v>1070789899417210880</v>
      </c>
      <c r="F1770" s="11" t="s">
        <v>2409</v>
      </c>
      <c r="G1770" s="12"/>
      <c r="H1770" s="12"/>
      <c r="I1770" s="13">
        <v>0</v>
      </c>
      <c r="J1770" s="13">
        <v>0</v>
      </c>
      <c r="K1770" s="14" t="str">
        <f t="shared" ref="K1770:K1771" si="307">HYPERLINK("http://twitter.com/download/iphone","Twitter for iPhone")</f>
        <v>Twitter for iPhone</v>
      </c>
      <c r="L1770" s="13">
        <v>591</v>
      </c>
      <c r="M1770" s="13">
        <v>562</v>
      </c>
      <c r="N1770" s="13">
        <v>8</v>
      </c>
      <c r="O1770" s="15"/>
      <c r="P1770" s="6">
        <v>40759.820185185185</v>
      </c>
      <c r="Q1770" s="16" t="s">
        <v>26</v>
      </c>
      <c r="R1770" s="17" t="s">
        <v>6162</v>
      </c>
      <c r="S1770" s="11" t="s">
        <v>6163</v>
      </c>
      <c r="T1770" s="12"/>
      <c r="U1770" s="10" t="str">
        <f>HYPERLINK("https://pbs.twimg.com/profile_images/980557823607279618/5JCXwf53.jpg","View")</f>
        <v>View</v>
      </c>
    </row>
    <row r="1771" spans="1:21" ht="40.799999999999997">
      <c r="A1771" s="6">
        <v>43440.930254629631</v>
      </c>
      <c r="B1771" s="7" t="str">
        <f>HYPERLINK("https://twitter.com/elLokoOnFire","@elLokoOnFire")</f>
        <v>@elLokoOnFire</v>
      </c>
      <c r="C1771" s="8" t="s">
        <v>6026</v>
      </c>
      <c r="D1771" s="9" t="s">
        <v>6027</v>
      </c>
      <c r="E1771" s="10" t="str">
        <f>HYPERLINK("https://twitter.com/elLokoOnFire/status/1070789871508299776","1070789871508299776")</f>
        <v>1070789871508299776</v>
      </c>
      <c r="F1771" s="11" t="s">
        <v>4815</v>
      </c>
      <c r="G1771" s="12"/>
      <c r="H1771" s="12"/>
      <c r="I1771" s="13">
        <v>1</v>
      </c>
      <c r="J1771" s="13">
        <v>1</v>
      </c>
      <c r="K1771" s="14" t="str">
        <f t="shared" si="307"/>
        <v>Twitter for iPhone</v>
      </c>
      <c r="L1771" s="13">
        <v>3214</v>
      </c>
      <c r="M1771" s="13">
        <v>2813</v>
      </c>
      <c r="N1771" s="13">
        <v>9</v>
      </c>
      <c r="O1771" s="15"/>
      <c r="P1771" s="6">
        <v>42794.544652777782</v>
      </c>
      <c r="Q1771" s="16" t="s">
        <v>6028</v>
      </c>
      <c r="R1771" s="17" t="s">
        <v>6029</v>
      </c>
      <c r="S1771" s="12"/>
      <c r="T1771" s="12"/>
      <c r="U1771" s="10" t="str">
        <f>HYPERLINK("https://pbs.twimg.com/profile_images/836569302023221250/KFiIuXuN.jpg","View")</f>
        <v>View</v>
      </c>
    </row>
    <row r="1772" spans="1:21" ht="13.2">
      <c r="A1772" s="6">
        <v>43440.929930555554</v>
      </c>
      <c r="B1772" s="7" t="str">
        <f>HYPERLINK("https://twitter.com/18dejulio36","@18dejulio36")</f>
        <v>@18dejulio36</v>
      </c>
      <c r="C1772" s="8" t="s">
        <v>6164</v>
      </c>
      <c r="D1772" s="9" t="s">
        <v>4459</v>
      </c>
      <c r="E1772" s="10" t="str">
        <f>HYPERLINK("https://twitter.com/18dejulio36/status/1070789755259052032","1070789755259052032")</f>
        <v>1070789755259052032</v>
      </c>
      <c r="F1772" s="11" t="s">
        <v>2089</v>
      </c>
      <c r="G1772" s="12"/>
      <c r="H1772" s="12"/>
      <c r="I1772" s="13">
        <v>0</v>
      </c>
      <c r="J1772" s="13">
        <v>0</v>
      </c>
      <c r="K1772" s="14" t="str">
        <f t="shared" ref="K1772:K1775" si="308">HYPERLINK("http://twitter.com/download/android","Twitter for Android")</f>
        <v>Twitter for Android</v>
      </c>
      <c r="L1772" s="13">
        <v>1336</v>
      </c>
      <c r="M1772" s="13">
        <v>644</v>
      </c>
      <c r="N1772" s="13">
        <v>83</v>
      </c>
      <c r="O1772" s="15"/>
      <c r="P1772" s="6">
        <v>41509.510497685187</v>
      </c>
      <c r="Q1772" s="16" t="s">
        <v>6165</v>
      </c>
      <c r="R1772" s="17" t="s">
        <v>6166</v>
      </c>
      <c r="S1772" s="12"/>
      <c r="T1772" s="12"/>
      <c r="U1772" s="10" t="str">
        <f>HYPERLINK("https://pbs.twimg.com/profile_images/647371484000845824/XCHRL0HG.jpg","View")</f>
        <v>View</v>
      </c>
    </row>
    <row r="1773" spans="1:21" ht="30.6">
      <c r="A1773" s="6">
        <v>43440.929780092592</v>
      </c>
      <c r="B1773" s="7" t="str">
        <f>HYPERLINK("https://twitter.com/SuperSanchez2","@SuperSanchez2")</f>
        <v>@SuperSanchez2</v>
      </c>
      <c r="C1773" s="8" t="s">
        <v>6167</v>
      </c>
      <c r="D1773" s="9" t="s">
        <v>6168</v>
      </c>
      <c r="E1773" s="10" t="str">
        <f>HYPERLINK("https://twitter.com/SuperSanchez2/status/1070789702268141568","1070789702268141568")</f>
        <v>1070789702268141568</v>
      </c>
      <c r="F1773" s="11" t="s">
        <v>6169</v>
      </c>
      <c r="G1773" s="12"/>
      <c r="H1773" s="12"/>
      <c r="I1773" s="13">
        <v>1</v>
      </c>
      <c r="J1773" s="13">
        <v>1</v>
      </c>
      <c r="K1773" s="14" t="str">
        <f t="shared" si="308"/>
        <v>Twitter for Android</v>
      </c>
      <c r="L1773" s="13">
        <v>119</v>
      </c>
      <c r="M1773" s="13">
        <v>125</v>
      </c>
      <c r="N1773" s="13">
        <v>0</v>
      </c>
      <c r="O1773" s="15"/>
      <c r="P1773" s="6">
        <v>43405.759398148148</v>
      </c>
      <c r="Q1773" s="16" t="s">
        <v>6170</v>
      </c>
      <c r="R1773" s="17" t="s">
        <v>6171</v>
      </c>
      <c r="S1773" s="12"/>
      <c r="T1773" s="12"/>
      <c r="U1773" s="10" t="str">
        <f>HYPERLINK("https://pbs.twimg.com/profile_images/1058044498880749569/w65VLTz9.jpg","View")</f>
        <v>View</v>
      </c>
    </row>
    <row r="1774" spans="1:21" ht="40.799999999999997">
      <c r="A1774" s="6">
        <v>43440.92969907407</v>
      </c>
      <c r="B1774" s="7" t="str">
        <f>HYPERLINK("https://twitter.com/jakeandelwood1","@jakeandelwood1")</f>
        <v>@jakeandelwood1</v>
      </c>
      <c r="C1774" s="8" t="s">
        <v>6172</v>
      </c>
      <c r="D1774" s="9" t="s">
        <v>6173</v>
      </c>
      <c r="E1774" s="10" t="str">
        <f>HYPERLINK("https://twitter.com/jakeandelwood1/status/1070789672824160258","1070789672824160258")</f>
        <v>1070789672824160258</v>
      </c>
      <c r="F1774" s="11" t="s">
        <v>246</v>
      </c>
      <c r="G1774" s="12"/>
      <c r="H1774" s="12"/>
      <c r="I1774" s="13">
        <v>0</v>
      </c>
      <c r="J1774" s="13">
        <v>0</v>
      </c>
      <c r="K1774" s="14" t="str">
        <f t="shared" si="308"/>
        <v>Twitter for Android</v>
      </c>
      <c r="L1774" s="13">
        <v>367</v>
      </c>
      <c r="M1774" s="13">
        <v>586</v>
      </c>
      <c r="N1774" s="13">
        <v>33</v>
      </c>
      <c r="O1774" s="15"/>
      <c r="P1774" s="6">
        <v>40221.910914351851</v>
      </c>
      <c r="Q1774" s="16" t="s">
        <v>200</v>
      </c>
      <c r="R1774" s="17" t="s">
        <v>6174</v>
      </c>
      <c r="S1774" s="12"/>
      <c r="T1774" s="12"/>
      <c r="U1774" s="10" t="str">
        <f>HYPERLINK("https://pbs.twimg.com/profile_images/1279610610/BluesBrothers.jpg","View")</f>
        <v>View</v>
      </c>
    </row>
    <row r="1775" spans="1:21" ht="20.399999999999999">
      <c r="A1775" s="6">
        <v>43440.928796296299</v>
      </c>
      <c r="B1775" s="7" t="str">
        <f>HYPERLINK("https://twitter.com/liberal_revista","@liberal_revista")</f>
        <v>@liberal_revista</v>
      </c>
      <c r="C1775" s="8" t="s">
        <v>6175</v>
      </c>
      <c r="D1775" s="9" t="s">
        <v>6176</v>
      </c>
      <c r="E1775" s="10" t="str">
        <f>HYPERLINK("https://twitter.com/liberal_revista/status/1070789345643257857","1070789345643257857")</f>
        <v>1070789345643257857</v>
      </c>
      <c r="F1775" s="11" t="s">
        <v>246</v>
      </c>
      <c r="G1775" s="12"/>
      <c r="H1775" s="12"/>
      <c r="I1775" s="13">
        <v>3</v>
      </c>
      <c r="J1775" s="13">
        <v>3</v>
      </c>
      <c r="K1775" s="14" t="str">
        <f t="shared" si="308"/>
        <v>Twitter for Android</v>
      </c>
      <c r="L1775" s="13">
        <v>691</v>
      </c>
      <c r="M1775" s="13">
        <v>176</v>
      </c>
      <c r="N1775" s="13">
        <v>3</v>
      </c>
      <c r="O1775" s="15"/>
      <c r="P1775" s="6">
        <v>43168.380046296297</v>
      </c>
      <c r="Q1775" s="16" t="s">
        <v>60</v>
      </c>
      <c r="R1775" s="17" t="s">
        <v>6177</v>
      </c>
      <c r="S1775" s="11" t="s">
        <v>6178</v>
      </c>
      <c r="T1775" s="12"/>
      <c r="U1775" s="10" t="str">
        <f>HYPERLINK("https://pbs.twimg.com/profile_images/972022446814564352/qrowNAxf.jpg","View")</f>
        <v>View</v>
      </c>
    </row>
    <row r="1776" spans="1:21" ht="40.799999999999997">
      <c r="A1776" s="6">
        <v>43440.927083333328</v>
      </c>
      <c r="B1776" s="7" t="str">
        <f>HYPERLINK("https://twitter.com/VerdaderaIzqda","@VerdaderaIzqda")</f>
        <v>@VerdaderaIzqda</v>
      </c>
      <c r="C1776" s="8" t="s">
        <v>6179</v>
      </c>
      <c r="D1776" s="9" t="s">
        <v>6180</v>
      </c>
      <c r="E1776" s="10" t="str">
        <f>HYPERLINK("https://twitter.com/VerdaderaIzqda/status/1070788722256302080","1070788722256302080")</f>
        <v>1070788722256302080</v>
      </c>
      <c r="F1776" s="11" t="s">
        <v>6181</v>
      </c>
      <c r="G1776" s="12"/>
      <c r="H1776" s="12"/>
      <c r="I1776" s="13">
        <v>9</v>
      </c>
      <c r="J1776" s="13">
        <v>6</v>
      </c>
      <c r="K1776" s="14" t="str">
        <f>HYPERLINK("https://about.twitter.com/products/tweetdeck","TweetDeck")</f>
        <v>TweetDeck</v>
      </c>
      <c r="L1776" s="13">
        <v>37389</v>
      </c>
      <c r="M1776" s="13">
        <v>16536</v>
      </c>
      <c r="N1776" s="13">
        <v>286</v>
      </c>
      <c r="O1776" s="15"/>
      <c r="P1776" s="6">
        <v>40716.581192129626</v>
      </c>
      <c r="Q1776" s="16" t="s">
        <v>60</v>
      </c>
      <c r="R1776" s="17" t="s">
        <v>6182</v>
      </c>
      <c r="S1776" s="11" t="s">
        <v>6183</v>
      </c>
      <c r="T1776" s="12"/>
      <c r="U1776" s="10" t="str">
        <f>HYPERLINK("https://pbs.twimg.com/profile_images/1407748160/contra_el_comunismo.jpg","View")</f>
        <v>View</v>
      </c>
    </row>
    <row r="1777" spans="1:21" ht="40.799999999999997">
      <c r="A1777" s="6">
        <v>43440.927048611113</v>
      </c>
      <c r="B1777" s="7" t="str">
        <f>HYPERLINK("https://twitter.com/ESdiario_com","@ESdiario_com")</f>
        <v>@ESdiario_com</v>
      </c>
      <c r="C1777" s="8" t="s">
        <v>5449</v>
      </c>
      <c r="D1777" s="9" t="s">
        <v>1324</v>
      </c>
      <c r="E1777" s="10" t="str">
        <f>HYPERLINK("https://twitter.com/ESdiario_com/status/1070788710843719680","1070788710843719680")</f>
        <v>1070788710843719680</v>
      </c>
      <c r="F1777" s="11" t="s">
        <v>467</v>
      </c>
      <c r="G1777" s="12"/>
      <c r="H1777" s="12"/>
      <c r="I1777" s="13">
        <v>13</v>
      </c>
      <c r="J1777" s="13">
        <v>16</v>
      </c>
      <c r="K1777" s="14" t="str">
        <f>HYPERLINK("http://twitter.com/download/android","Twitter for Android")</f>
        <v>Twitter for Android</v>
      </c>
      <c r="L1777" s="13">
        <v>30936</v>
      </c>
      <c r="M1777" s="13">
        <v>707</v>
      </c>
      <c r="N1777" s="13">
        <v>497</v>
      </c>
      <c r="O1777" s="15"/>
      <c r="P1777" s="6">
        <v>40584.500949074078</v>
      </c>
      <c r="Q1777" s="16" t="s">
        <v>133</v>
      </c>
      <c r="R1777" s="17" t="s">
        <v>5452</v>
      </c>
      <c r="S1777" s="11" t="s">
        <v>5453</v>
      </c>
      <c r="T1777" s="12"/>
      <c r="U1777" s="10" t="str">
        <f>HYPERLINK("https://pbs.twimg.com/profile_images/708363281308753920/7qh3akOb.jpg","View")</f>
        <v>View</v>
      </c>
    </row>
    <row r="1778" spans="1:21" ht="40.799999999999997">
      <c r="A1778" s="6">
        <v>43440.926192129627</v>
      </c>
      <c r="B1778" s="7" t="str">
        <f>HYPERLINK("https://twitter.com/Zibelinam","@Zibelinam")</f>
        <v>@Zibelinam</v>
      </c>
      <c r="C1778" s="8" t="s">
        <v>1730</v>
      </c>
      <c r="D1778" s="9" t="s">
        <v>6184</v>
      </c>
      <c r="E1778" s="10" t="str">
        <f>HYPERLINK("https://twitter.com/Zibelinam/status/1070788401069244418","1070788401069244418")</f>
        <v>1070788401069244418</v>
      </c>
      <c r="F1778" s="11" t="s">
        <v>2582</v>
      </c>
      <c r="G1778" s="12"/>
      <c r="H1778" s="12"/>
      <c r="I1778" s="13">
        <v>0</v>
      </c>
      <c r="J1778" s="13">
        <v>0</v>
      </c>
      <c r="K1778" s="14" t="str">
        <f>HYPERLINK("http://twitter.com/download/iphone","Twitter for iPhone")</f>
        <v>Twitter for iPhone</v>
      </c>
      <c r="L1778" s="13">
        <v>4133</v>
      </c>
      <c r="M1778" s="13">
        <v>4055</v>
      </c>
      <c r="N1778" s="13">
        <v>20</v>
      </c>
      <c r="O1778" s="15"/>
      <c r="P1778" s="6">
        <v>41405.65353009259</v>
      </c>
      <c r="Q1778" s="16" t="s">
        <v>1732</v>
      </c>
      <c r="R1778" s="17" t="s">
        <v>1733</v>
      </c>
      <c r="S1778" s="12"/>
      <c r="T1778" s="12"/>
      <c r="U1778" s="10" t="str">
        <f>HYPERLINK("https://pbs.twimg.com/profile_images/929426502416027649/07tvgMQf.jpg","View")</f>
        <v>View</v>
      </c>
    </row>
    <row r="1779" spans="1:21" ht="40.799999999999997">
      <c r="A1779" s="6">
        <v>43440.925821759258</v>
      </c>
      <c r="B1779" s="7" t="str">
        <f>HYPERLINK("https://twitter.com/GuajeSalvaje","@GuajeSalvaje")</f>
        <v>@GuajeSalvaje</v>
      </c>
      <c r="C1779" s="8" t="s">
        <v>6185</v>
      </c>
      <c r="D1779" s="9" t="s">
        <v>6186</v>
      </c>
      <c r="E1779" s="10" t="str">
        <f>HYPERLINK("https://twitter.com/GuajeSalvaje/status/1070788263814852608","1070788263814852608")</f>
        <v>1070788263814852608</v>
      </c>
      <c r="F1779" s="12"/>
      <c r="G1779" s="11" t="s">
        <v>2740</v>
      </c>
      <c r="H1779" s="12"/>
      <c r="I1779" s="13">
        <v>140</v>
      </c>
      <c r="J1779" s="13">
        <v>260</v>
      </c>
      <c r="K1779" s="14" t="str">
        <f>HYPERLINK("http://twitter.com/download/android","Twitter for Android")</f>
        <v>Twitter for Android</v>
      </c>
      <c r="L1779" s="13">
        <v>25791</v>
      </c>
      <c r="M1779" s="13">
        <v>6101</v>
      </c>
      <c r="N1779" s="13">
        <v>110</v>
      </c>
      <c r="O1779" s="15"/>
      <c r="P1779" s="6">
        <v>43020.705578703702</v>
      </c>
      <c r="Q1779" s="16" t="s">
        <v>2025</v>
      </c>
      <c r="R1779" s="17" t="s">
        <v>6187</v>
      </c>
      <c r="S1779" s="12"/>
      <c r="T1779" s="12"/>
      <c r="U1779" s="10" t="str">
        <f>HYPERLINK("https://pbs.twimg.com/profile_images/918501506097311755/uqEJjgtg.jpg","View")</f>
        <v>View</v>
      </c>
    </row>
    <row r="1780" spans="1:21" ht="51">
      <c r="A1780" s="6">
        <v>43440.925543981481</v>
      </c>
      <c r="B1780" s="7" t="str">
        <f>HYPERLINK("https://twitter.com/FanjulSegundo","@FanjulSegundo")</f>
        <v>@FanjulSegundo</v>
      </c>
      <c r="C1780" s="8" t="s">
        <v>2840</v>
      </c>
      <c r="D1780" s="9" t="s">
        <v>6188</v>
      </c>
      <c r="E1780" s="10" t="str">
        <f>HYPERLINK("https://twitter.com/FanjulSegundo/status/1070788166376964097","1070788166376964097")</f>
        <v>1070788166376964097</v>
      </c>
      <c r="F1780" s="12"/>
      <c r="G1780" s="11" t="s">
        <v>6189</v>
      </c>
      <c r="H1780" s="12"/>
      <c r="I1780" s="13">
        <v>2</v>
      </c>
      <c r="J1780" s="13">
        <v>8</v>
      </c>
      <c r="K1780" s="14" t="str">
        <f t="shared" ref="K1780:K1781" si="309">HYPERLINK("http://twitter.com","Twitter Web Client")</f>
        <v>Twitter Web Client</v>
      </c>
      <c r="L1780" s="13">
        <v>32098</v>
      </c>
      <c r="M1780" s="13">
        <v>7327</v>
      </c>
      <c r="N1780" s="13">
        <v>105</v>
      </c>
      <c r="O1780" s="15"/>
      <c r="P1780" s="6">
        <v>40925.638194444444</v>
      </c>
      <c r="Q1780" s="12"/>
      <c r="R1780" s="17" t="s">
        <v>2845</v>
      </c>
      <c r="S1780" s="12"/>
      <c r="T1780" s="12"/>
      <c r="U1780" s="10" t="str">
        <f>HYPERLINK("https://pbs.twimg.com/profile_images/3538718854/e54d3fd024ceb7ff0dafe39cefaeb701.png","View")</f>
        <v>View</v>
      </c>
    </row>
    <row r="1781" spans="1:21" ht="30.6">
      <c r="A1781" s="6">
        <v>43440.925474537042</v>
      </c>
      <c r="B1781" s="7" t="str">
        <f>HYPERLINK("https://twitter.com/SalvarArchivo","@SalvarArchivo")</f>
        <v>@SalvarArchivo</v>
      </c>
      <c r="C1781" s="8" t="s">
        <v>6190</v>
      </c>
      <c r="D1781" s="9" t="s">
        <v>6191</v>
      </c>
      <c r="E1781" s="10" t="str">
        <f>HYPERLINK("https://twitter.com/SalvarArchivo/status/1070788140774899712","1070788140774899712")</f>
        <v>1070788140774899712</v>
      </c>
      <c r="F1781" s="11" t="s">
        <v>6192</v>
      </c>
      <c r="G1781" s="12"/>
      <c r="H1781" s="12"/>
      <c r="I1781" s="13">
        <v>14</v>
      </c>
      <c r="J1781" s="13">
        <v>8</v>
      </c>
      <c r="K1781" s="14" t="str">
        <f t="shared" si="309"/>
        <v>Twitter Web Client</v>
      </c>
      <c r="L1781" s="13">
        <v>4337</v>
      </c>
      <c r="M1781" s="13">
        <v>2795</v>
      </c>
      <c r="N1781" s="13">
        <v>48</v>
      </c>
      <c r="O1781" s="15"/>
      <c r="P1781" s="6">
        <v>40834.584907407407</v>
      </c>
      <c r="Q1781" s="16" t="s">
        <v>710</v>
      </c>
      <c r="R1781" s="17" t="s">
        <v>6194</v>
      </c>
      <c r="S1781" s="11" t="s">
        <v>6195</v>
      </c>
      <c r="T1781" s="12"/>
      <c r="U1781" s="10" t="str">
        <f>HYPERLINK("https://pbs.twimg.com/profile_images/1046855216384151552/YKJjx9r8.jpg","View")</f>
        <v>View</v>
      </c>
    </row>
    <row r="1782" spans="1:21" ht="61.2">
      <c r="A1782" s="6">
        <v>43440.924780092595</v>
      </c>
      <c r="B1782" s="7" t="str">
        <f>HYPERLINK("https://twitter.com/josecarloscurto","@josecarloscurto")</f>
        <v>@josecarloscurto</v>
      </c>
      <c r="C1782" s="8" t="s">
        <v>6196</v>
      </c>
      <c r="D1782" s="9" t="s">
        <v>6197</v>
      </c>
      <c r="E1782" s="10" t="str">
        <f>HYPERLINK("https://twitter.com/josecarloscurto/status/1070787887099199491","1070787887099199491")</f>
        <v>1070787887099199491</v>
      </c>
      <c r="F1782" s="11" t="s">
        <v>54</v>
      </c>
      <c r="G1782" s="11" t="s">
        <v>55</v>
      </c>
      <c r="H1782" s="12"/>
      <c r="I1782" s="13">
        <v>0</v>
      </c>
      <c r="J1782" s="13">
        <v>0</v>
      </c>
      <c r="K1782" s="14" t="str">
        <f>HYPERLINK("http://www.facebook.com/twitter","Facebook")</f>
        <v>Facebook</v>
      </c>
      <c r="L1782" s="13">
        <v>1326</v>
      </c>
      <c r="M1782" s="13">
        <v>2036</v>
      </c>
      <c r="N1782" s="13">
        <v>6</v>
      </c>
      <c r="O1782" s="15"/>
      <c r="P1782" s="6">
        <v>40852.499675925923</v>
      </c>
      <c r="Q1782" s="16" t="s">
        <v>6198</v>
      </c>
      <c r="R1782" s="17" t="s">
        <v>6199</v>
      </c>
      <c r="S1782" s="11" t="s">
        <v>6200</v>
      </c>
      <c r="T1782" s="12"/>
      <c r="U1782" s="10" t="str">
        <f>HYPERLINK("https://pbs.twimg.com/profile_images/870174534003032064/ybuCRQ0A.jpg","View")</f>
        <v>View</v>
      </c>
    </row>
    <row r="1783" spans="1:21" ht="40.799999999999997">
      <c r="A1783" s="6">
        <v>43440.924629629633</v>
      </c>
      <c r="B1783" s="7" t="str">
        <f>HYPERLINK("https://twitter.com/SalvarArchivo","@SalvarArchivo")</f>
        <v>@SalvarArchivo</v>
      </c>
      <c r="C1783" s="8" t="s">
        <v>6190</v>
      </c>
      <c r="D1783" s="9" t="s">
        <v>6201</v>
      </c>
      <c r="E1783" s="10" t="str">
        <f>HYPERLINK("https://twitter.com/SalvarArchivo/status/1070787831776333824","1070787831776333824")</f>
        <v>1070787831776333824</v>
      </c>
      <c r="F1783" s="11" t="s">
        <v>6192</v>
      </c>
      <c r="G1783" s="12"/>
      <c r="H1783" s="12"/>
      <c r="I1783" s="13">
        <v>143</v>
      </c>
      <c r="J1783" s="13">
        <v>149</v>
      </c>
      <c r="K1783" s="14" t="str">
        <f t="shared" ref="K1783:K1785" si="310">HYPERLINK("http://twitter.com","Twitter Web Client")</f>
        <v>Twitter Web Client</v>
      </c>
      <c r="L1783" s="13">
        <v>4337</v>
      </c>
      <c r="M1783" s="13">
        <v>2795</v>
      </c>
      <c r="N1783" s="13">
        <v>48</v>
      </c>
      <c r="O1783" s="15"/>
      <c r="P1783" s="6">
        <v>40834.584907407407</v>
      </c>
      <c r="Q1783" s="16" t="s">
        <v>710</v>
      </c>
      <c r="R1783" s="17" t="s">
        <v>6194</v>
      </c>
      <c r="S1783" s="11" t="s">
        <v>6195</v>
      </c>
      <c r="T1783" s="12"/>
      <c r="U1783" s="10" t="str">
        <f>HYPERLINK("https://pbs.twimg.com/profile_images/1046855216384151552/YKJjx9r8.jpg","View")</f>
        <v>View</v>
      </c>
    </row>
    <row r="1784" spans="1:21" ht="20.399999999999999">
      <c r="A1784" s="6">
        <v>43440.924513888887</v>
      </c>
      <c r="B1784" s="7" t="str">
        <f>HYPERLINK("https://twitter.com/Lamoscamasoca1","@Lamoscamasoca1")</f>
        <v>@Lamoscamasoca1</v>
      </c>
      <c r="C1784" s="8" t="s">
        <v>6202</v>
      </c>
      <c r="D1784" s="9" t="s">
        <v>6203</v>
      </c>
      <c r="E1784" s="10" t="str">
        <f>HYPERLINK("https://twitter.com/Lamoscamasoca1/status/1070787791947218951","1070787791947218951")</f>
        <v>1070787791947218951</v>
      </c>
      <c r="F1784" s="11" t="s">
        <v>4145</v>
      </c>
      <c r="G1784" s="12"/>
      <c r="H1784" s="12"/>
      <c r="I1784" s="13">
        <v>0</v>
      </c>
      <c r="J1784" s="13">
        <v>1</v>
      </c>
      <c r="K1784" s="14" t="str">
        <f t="shared" si="310"/>
        <v>Twitter Web Client</v>
      </c>
      <c r="L1784" s="13">
        <v>1068</v>
      </c>
      <c r="M1784" s="13">
        <v>1485</v>
      </c>
      <c r="N1784" s="13">
        <v>0</v>
      </c>
      <c r="O1784" s="15"/>
      <c r="P1784" s="6">
        <v>43190.660104166665</v>
      </c>
      <c r="Q1784" s="12"/>
      <c r="R1784" s="17" t="s">
        <v>6204</v>
      </c>
      <c r="S1784" s="12"/>
      <c r="T1784" s="12"/>
      <c r="U1784" s="10" t="str">
        <f>HYPERLINK("https://pbs.twimg.com/profile_images/980220268814708736/ha2FnKem.jpg","View")</f>
        <v>View</v>
      </c>
    </row>
    <row r="1785" spans="1:21" ht="40.799999999999997">
      <c r="A1785" s="6">
        <v>43440.924178240741</v>
      </c>
      <c r="B1785" s="7" t="str">
        <f>HYPERLINK("https://twitter.com/SalvarArchivo","@SalvarArchivo")</f>
        <v>@SalvarArchivo</v>
      </c>
      <c r="C1785" s="8" t="s">
        <v>6190</v>
      </c>
      <c r="D1785" s="9" t="s">
        <v>6205</v>
      </c>
      <c r="E1785" s="10" t="str">
        <f>HYPERLINK("https://twitter.com/SalvarArchivo/status/1070787671457447936","1070787671457447936")</f>
        <v>1070787671457447936</v>
      </c>
      <c r="F1785" s="11" t="s">
        <v>6192</v>
      </c>
      <c r="G1785" s="12"/>
      <c r="H1785" s="12"/>
      <c r="I1785" s="13">
        <v>6</v>
      </c>
      <c r="J1785" s="13">
        <v>5</v>
      </c>
      <c r="K1785" s="14" t="str">
        <f t="shared" si="310"/>
        <v>Twitter Web Client</v>
      </c>
      <c r="L1785" s="13">
        <v>4337</v>
      </c>
      <c r="M1785" s="13">
        <v>2795</v>
      </c>
      <c r="N1785" s="13">
        <v>48</v>
      </c>
      <c r="O1785" s="15"/>
      <c r="P1785" s="6">
        <v>40834.584907407407</v>
      </c>
      <c r="Q1785" s="16" t="s">
        <v>710</v>
      </c>
      <c r="R1785" s="17" t="s">
        <v>6194</v>
      </c>
      <c r="S1785" s="11" t="s">
        <v>6195</v>
      </c>
      <c r="T1785" s="12"/>
      <c r="U1785" s="10" t="str">
        <f>HYPERLINK("https://pbs.twimg.com/profile_images/1046855216384151552/YKJjx9r8.jpg","View")</f>
        <v>View</v>
      </c>
    </row>
    <row r="1786" spans="1:21" ht="91.8">
      <c r="A1786" s="6">
        <v>43440.924016203702</v>
      </c>
      <c r="B1786" s="7" t="str">
        <f>HYPERLINK("https://twitter.com/Gabrielaapf","@Gabrielaapf")</f>
        <v>@Gabrielaapf</v>
      </c>
      <c r="C1786" s="8" t="s">
        <v>3195</v>
      </c>
      <c r="D1786" s="9" t="s">
        <v>6206</v>
      </c>
      <c r="E1786" s="10" t="str">
        <f>HYPERLINK("https://twitter.com/Gabrielaapf/status/1070787609658568705","1070787609658568705")</f>
        <v>1070787609658568705</v>
      </c>
      <c r="F1786" s="11" t="s">
        <v>6207</v>
      </c>
      <c r="G1786" s="12"/>
      <c r="H1786" s="12"/>
      <c r="I1786" s="13">
        <v>0</v>
      </c>
      <c r="J1786" s="13">
        <v>1</v>
      </c>
      <c r="K1786" s="14" t="str">
        <f>HYPERLINK("http://twitter.com/#!/download/ipad","Twitter for iPad")</f>
        <v>Twitter for iPad</v>
      </c>
      <c r="L1786" s="13">
        <v>152</v>
      </c>
      <c r="M1786" s="13">
        <v>284</v>
      </c>
      <c r="N1786" s="13">
        <v>0</v>
      </c>
      <c r="O1786" s="15"/>
      <c r="P1786" s="6">
        <v>40805.015590277777</v>
      </c>
      <c r="Q1786" s="16" t="s">
        <v>1528</v>
      </c>
      <c r="R1786" s="19"/>
      <c r="S1786" s="11" t="s">
        <v>3199</v>
      </c>
      <c r="T1786" s="12"/>
      <c r="U1786" s="10" t="str">
        <f>HYPERLINK("https://pbs.twimg.com/profile_images/883055815892107266/fBfRTkg0.jpg","View")</f>
        <v>View</v>
      </c>
    </row>
    <row r="1787" spans="1:21" ht="20.399999999999999">
      <c r="A1787" s="6">
        <v>43440.923576388886</v>
      </c>
      <c r="B1787" s="7" t="str">
        <f>HYPERLINK("https://twitter.com/boroscq","@boroscq")</f>
        <v>@boroscq</v>
      </c>
      <c r="C1787" s="8" t="s">
        <v>6208</v>
      </c>
      <c r="D1787" s="9" t="s">
        <v>2521</v>
      </c>
      <c r="E1787" s="10" t="str">
        <f>HYPERLINK("https://twitter.com/boroscq/status/1070787450933514240","1070787450933514240")</f>
        <v>1070787450933514240</v>
      </c>
      <c r="F1787" s="11" t="s">
        <v>3202</v>
      </c>
      <c r="G1787" s="12"/>
      <c r="H1787" s="12"/>
      <c r="I1787" s="13">
        <v>0</v>
      </c>
      <c r="J1787" s="13">
        <v>0</v>
      </c>
      <c r="K1787" s="14" t="str">
        <f>HYPERLINK("http://www.facebook.com/twitter","Facebook")</f>
        <v>Facebook</v>
      </c>
      <c r="L1787" s="13">
        <v>241</v>
      </c>
      <c r="M1787" s="13">
        <v>147</v>
      </c>
      <c r="N1787" s="13">
        <v>22</v>
      </c>
      <c r="O1787" s="15"/>
      <c r="P1787" s="6">
        <v>40082.631307870368</v>
      </c>
      <c r="Q1787" s="16" t="s">
        <v>630</v>
      </c>
      <c r="R1787" s="17" t="s">
        <v>6210</v>
      </c>
      <c r="S1787" s="11" t="s">
        <v>6211</v>
      </c>
      <c r="T1787" s="12"/>
      <c r="U1787" s="10" t="str">
        <f>HYPERLINK("https://pbs.twimg.com/profile_images/1031316357579718656/_isIg6h7.jpg","View")</f>
        <v>View</v>
      </c>
    </row>
    <row r="1788" spans="1:21" ht="40.799999999999997">
      <c r="A1788" s="6">
        <v>43440.923460648148</v>
      </c>
      <c r="B1788" s="7" t="str">
        <f>HYPERLINK("https://twitter.com/elLokoOnFire","@elLokoOnFire")</f>
        <v>@elLokoOnFire</v>
      </c>
      <c r="C1788" s="8" t="s">
        <v>6026</v>
      </c>
      <c r="D1788" s="9" t="s">
        <v>6075</v>
      </c>
      <c r="E1788" s="10" t="str">
        <f>HYPERLINK("https://twitter.com/elLokoOnFire/status/1070787412148785152","1070787412148785152")</f>
        <v>1070787412148785152</v>
      </c>
      <c r="F1788" s="11" t="s">
        <v>467</v>
      </c>
      <c r="G1788" s="12"/>
      <c r="H1788" s="12"/>
      <c r="I1788" s="13">
        <v>0</v>
      </c>
      <c r="J1788" s="13">
        <v>2</v>
      </c>
      <c r="K1788" s="14" t="str">
        <f>HYPERLINK("http://twitter.com/download/iphone","Twitter for iPhone")</f>
        <v>Twitter for iPhone</v>
      </c>
      <c r="L1788" s="13">
        <v>3214</v>
      </c>
      <c r="M1788" s="13">
        <v>2813</v>
      </c>
      <c r="N1788" s="13">
        <v>9</v>
      </c>
      <c r="O1788" s="15"/>
      <c r="P1788" s="6">
        <v>42794.544652777782</v>
      </c>
      <c r="Q1788" s="16" t="s">
        <v>6028</v>
      </c>
      <c r="R1788" s="17" t="s">
        <v>6029</v>
      </c>
      <c r="S1788" s="12"/>
      <c r="T1788" s="12"/>
      <c r="U1788" s="10" t="str">
        <f>HYPERLINK("https://pbs.twimg.com/profile_images/836569302023221250/KFiIuXuN.jpg","View")</f>
        <v>View</v>
      </c>
    </row>
    <row r="1789" spans="1:21" ht="91.8">
      <c r="A1789" s="6">
        <v>43440.923321759255</v>
      </c>
      <c r="B1789" s="7" t="str">
        <f>HYPERLINK("https://twitter.com/Libertad11111","@Libertad11111")</f>
        <v>@Libertad11111</v>
      </c>
      <c r="C1789" s="8" t="s">
        <v>6219</v>
      </c>
      <c r="D1789" s="9" t="s">
        <v>6220</v>
      </c>
      <c r="E1789" s="10" t="str">
        <f>HYPERLINK("https://twitter.com/Libertad11111/status/1070787360072323072","1070787360072323072")</f>
        <v>1070787360072323072</v>
      </c>
      <c r="F1789" s="11" t="s">
        <v>3368</v>
      </c>
      <c r="G1789" s="11" t="s">
        <v>3370</v>
      </c>
      <c r="H1789" s="12"/>
      <c r="I1789" s="13">
        <v>0</v>
      </c>
      <c r="J1789" s="13">
        <v>0</v>
      </c>
      <c r="K1789" s="14" t="str">
        <f>HYPERLINK("http://twitter.com/download/android","Twitter for Android")</f>
        <v>Twitter for Android</v>
      </c>
      <c r="L1789" s="13">
        <v>102</v>
      </c>
      <c r="M1789" s="13">
        <v>161</v>
      </c>
      <c r="N1789" s="13">
        <v>0</v>
      </c>
      <c r="O1789" s="15"/>
      <c r="P1789" s="6">
        <v>43396.739814814813</v>
      </c>
      <c r="Q1789" s="12"/>
      <c r="R1789" s="17" t="s">
        <v>6221</v>
      </c>
      <c r="S1789" s="12"/>
      <c r="T1789" s="12"/>
      <c r="U1789" s="10" t="str">
        <f>HYPERLINK("https://pbs.twimg.com/profile_images/1054764858896510976/yOv3FPU8.jpg","View")</f>
        <v>View</v>
      </c>
    </row>
    <row r="1790" spans="1:21" ht="40.799999999999997">
      <c r="A1790" s="6">
        <v>43440.92322916667</v>
      </c>
      <c r="B1790" s="7" t="str">
        <f t="shared" ref="B1790:B1791" si="311">HYPERLINK("https://twitter.com/Nuevo_Curso","@Nuevo_Curso")</f>
        <v>@Nuevo_Curso</v>
      </c>
      <c r="C1790" s="8" t="s">
        <v>6030</v>
      </c>
      <c r="D1790" s="9" t="s">
        <v>6222</v>
      </c>
      <c r="E1790" s="10" t="str">
        <f>HYPERLINK("https://twitter.com/Nuevo_Curso/status/1070787326190735360","1070787326190735360")</f>
        <v>1070787326190735360</v>
      </c>
      <c r="F1790" s="11" t="s">
        <v>6032</v>
      </c>
      <c r="G1790" s="12"/>
      <c r="H1790" s="12"/>
      <c r="I1790" s="13">
        <v>2</v>
      </c>
      <c r="J1790" s="13">
        <v>2</v>
      </c>
      <c r="K1790" s="14" t="str">
        <f t="shared" ref="K1790:K1791" si="312">HYPERLINK("https://buffer.com","Buffer")</f>
        <v>Buffer</v>
      </c>
      <c r="L1790" s="13">
        <v>4960</v>
      </c>
      <c r="M1790" s="13">
        <v>2</v>
      </c>
      <c r="N1790" s="13">
        <v>13</v>
      </c>
      <c r="O1790" s="15"/>
      <c r="P1790" s="6">
        <v>43004.446574074071</v>
      </c>
      <c r="Q1790" s="16" t="s">
        <v>6033</v>
      </c>
      <c r="R1790" s="17" t="s">
        <v>6034</v>
      </c>
      <c r="S1790" s="11" t="s">
        <v>6035</v>
      </c>
      <c r="T1790" s="12"/>
      <c r="U1790" s="10" t="str">
        <f t="shared" ref="U1790:U1791" si="313">HYPERLINK("https://pbs.twimg.com/profile_images/956888218779160578/LHnGv_jn.jpg","View")</f>
        <v>View</v>
      </c>
    </row>
    <row r="1791" spans="1:21" ht="30.6">
      <c r="A1791" s="6">
        <v>43440.92288194444</v>
      </c>
      <c r="B1791" s="7" t="str">
        <f t="shared" si="311"/>
        <v>@Nuevo_Curso</v>
      </c>
      <c r="C1791" s="8" t="s">
        <v>6030</v>
      </c>
      <c r="D1791" s="9" t="s">
        <v>6223</v>
      </c>
      <c r="E1791" s="10" t="str">
        <f>HYPERLINK("https://twitter.com/Nuevo_Curso/status/1070787200655200256","1070787200655200256")</f>
        <v>1070787200655200256</v>
      </c>
      <c r="F1791" s="11" t="s">
        <v>6032</v>
      </c>
      <c r="G1791" s="12"/>
      <c r="H1791" s="12"/>
      <c r="I1791" s="13">
        <v>2</v>
      </c>
      <c r="J1791" s="13">
        <v>3</v>
      </c>
      <c r="K1791" s="14" t="str">
        <f t="shared" si="312"/>
        <v>Buffer</v>
      </c>
      <c r="L1791" s="13">
        <v>4960</v>
      </c>
      <c r="M1791" s="13">
        <v>2</v>
      </c>
      <c r="N1791" s="13">
        <v>13</v>
      </c>
      <c r="O1791" s="15"/>
      <c r="P1791" s="6">
        <v>43004.446574074071</v>
      </c>
      <c r="Q1791" s="16" t="s">
        <v>6033</v>
      </c>
      <c r="R1791" s="17" t="s">
        <v>6034</v>
      </c>
      <c r="S1791" s="11" t="s">
        <v>6035</v>
      </c>
      <c r="T1791" s="12"/>
      <c r="U1791" s="10" t="str">
        <f t="shared" si="313"/>
        <v>View</v>
      </c>
    </row>
    <row r="1792" spans="1:21" ht="30.6">
      <c r="A1792" s="6">
        <v>43440.922164351854</v>
      </c>
      <c r="B1792" s="7" t="str">
        <f>HYPERLINK("https://twitter.com/pacoluisj","@pacoluisj")</f>
        <v>@pacoluisj</v>
      </c>
      <c r="C1792" s="8" t="s">
        <v>5261</v>
      </c>
      <c r="D1792" s="9" t="s">
        <v>1514</v>
      </c>
      <c r="E1792" s="10" t="str">
        <f>HYPERLINK("https://twitter.com/pacoluisj/status/1070786942101536772","1070786942101536772")</f>
        <v>1070786942101536772</v>
      </c>
      <c r="F1792" s="11" t="s">
        <v>246</v>
      </c>
      <c r="G1792" s="12"/>
      <c r="H1792" s="12"/>
      <c r="I1792" s="13">
        <v>0</v>
      </c>
      <c r="J1792" s="13">
        <v>0</v>
      </c>
      <c r="K1792" s="14" t="str">
        <f>HYPERLINK("http://twitter.com/download/android","Twitter for Android")</f>
        <v>Twitter for Android</v>
      </c>
      <c r="L1792" s="13">
        <v>5128</v>
      </c>
      <c r="M1792" s="13">
        <v>5193</v>
      </c>
      <c r="N1792" s="13">
        <v>33</v>
      </c>
      <c r="O1792" s="15"/>
      <c r="P1792" s="6">
        <v>40259.792893518519</v>
      </c>
      <c r="Q1792" s="16" t="s">
        <v>60</v>
      </c>
      <c r="R1792" s="17" t="s">
        <v>5264</v>
      </c>
      <c r="S1792" s="12"/>
      <c r="T1792" s="12"/>
      <c r="U1792" s="10" t="str">
        <f>HYPERLINK("https://pbs.twimg.com/profile_images/978195787904634880/xKXdKqVW.jpg","View")</f>
        <v>View</v>
      </c>
    </row>
    <row r="1793" spans="1:21" ht="20.399999999999999">
      <c r="A1793" s="6">
        <v>43440.922106481477</v>
      </c>
      <c r="B1793" s="7" t="str">
        <f>HYPERLINK("https://twitter.com/RoseCarlington","@RoseCarlington")</f>
        <v>@RoseCarlington</v>
      </c>
      <c r="C1793" s="8" t="s">
        <v>6224</v>
      </c>
      <c r="D1793" s="9" t="s">
        <v>6111</v>
      </c>
      <c r="E1793" s="10" t="str">
        <f>HYPERLINK("https://twitter.com/RoseCarlington/status/1070786919787687936","1070786919787687936")</f>
        <v>1070786919787687936</v>
      </c>
      <c r="F1793" s="11" t="s">
        <v>6225</v>
      </c>
      <c r="G1793" s="11" t="s">
        <v>6226</v>
      </c>
      <c r="H1793" s="12"/>
      <c r="I1793" s="13">
        <v>0</v>
      </c>
      <c r="J1793" s="13">
        <v>0</v>
      </c>
      <c r="K1793" s="14" t="str">
        <f>HYPERLINK("https://dlvrit.com/","dlvr.it")</f>
        <v>dlvr.it</v>
      </c>
      <c r="L1793" s="13">
        <v>1709</v>
      </c>
      <c r="M1793" s="13">
        <v>2808</v>
      </c>
      <c r="N1793" s="13">
        <v>8</v>
      </c>
      <c r="O1793" s="15"/>
      <c r="P1793" s="6">
        <v>42702.605578703704</v>
      </c>
      <c r="Q1793" s="16" t="s">
        <v>60</v>
      </c>
      <c r="R1793" s="17" t="s">
        <v>6227</v>
      </c>
      <c r="S1793" s="12"/>
      <c r="T1793" s="12"/>
      <c r="U1793" s="10" t="str">
        <f>HYPERLINK("https://pbs.twimg.com/profile_images/817788338849640456/O6Y8Oi2g.jpg","View")</f>
        <v>View</v>
      </c>
    </row>
    <row r="1794" spans="1:21" ht="20.399999999999999">
      <c r="A1794" s="6">
        <v>43440.921921296293</v>
      </c>
      <c r="B1794" s="7" t="str">
        <f>HYPERLINK("https://twitter.com/kayak_twit","@kayak_twit")</f>
        <v>@kayak_twit</v>
      </c>
      <c r="C1794" s="8" t="s">
        <v>6228</v>
      </c>
      <c r="D1794" s="9" t="s">
        <v>6229</v>
      </c>
      <c r="E1794" s="10" t="str">
        <f>HYPERLINK("https://twitter.com/kayak_twit/status/1070786853928873984","1070786853928873984")</f>
        <v>1070786853928873984</v>
      </c>
      <c r="F1794" s="11" t="s">
        <v>6230</v>
      </c>
      <c r="G1794" s="12"/>
      <c r="H1794" s="12"/>
      <c r="I1794" s="13">
        <v>0</v>
      </c>
      <c r="J1794" s="13">
        <v>0</v>
      </c>
      <c r="K1794" s="14" t="str">
        <f t="shared" ref="K1794:K1795" si="314">HYPERLINK("http://twitter.com/download/android","Twitter for Android")</f>
        <v>Twitter for Android</v>
      </c>
      <c r="L1794" s="13">
        <v>2424</v>
      </c>
      <c r="M1794" s="13">
        <v>1870</v>
      </c>
      <c r="N1794" s="13">
        <v>42</v>
      </c>
      <c r="O1794" s="15"/>
      <c r="P1794" s="6">
        <v>40583.06113425926</v>
      </c>
      <c r="Q1794" s="16" t="s">
        <v>6231</v>
      </c>
      <c r="R1794" s="17" t="s">
        <v>6232</v>
      </c>
      <c r="S1794" s="12"/>
      <c r="T1794" s="12"/>
      <c r="U1794" s="10" t="str">
        <f>HYPERLINK("https://pbs.twimg.com/profile_images/378800000146370498/60af539dd94a6b23ab48b4db34ae602d.jpeg","View")</f>
        <v>View</v>
      </c>
    </row>
    <row r="1795" spans="1:21" ht="51">
      <c r="A1795" s="6">
        <v>43440.921249999999</v>
      </c>
      <c r="B1795" s="7" t="str">
        <f>HYPERLINK("https://twitter.com/BenjamnMantec17","@BenjamnMantec17")</f>
        <v>@BenjamnMantec17</v>
      </c>
      <c r="C1795" s="8" t="s">
        <v>6233</v>
      </c>
      <c r="D1795" s="9" t="s">
        <v>6234</v>
      </c>
      <c r="E1795" s="10" t="str">
        <f>HYPERLINK("https://twitter.com/BenjamnMantec17/status/1070786610088828928","1070786610088828928")</f>
        <v>1070786610088828928</v>
      </c>
      <c r="F1795" s="12"/>
      <c r="G1795" s="12"/>
      <c r="H1795" s="12"/>
      <c r="I1795" s="13">
        <v>0</v>
      </c>
      <c r="J1795" s="13">
        <v>0</v>
      </c>
      <c r="K1795" s="14" t="str">
        <f t="shared" si="314"/>
        <v>Twitter for Android</v>
      </c>
      <c r="L1795" s="13">
        <v>1</v>
      </c>
      <c r="M1795" s="13">
        <v>6</v>
      </c>
      <c r="N1795" s="13">
        <v>0</v>
      </c>
      <c r="O1795" s="15"/>
      <c r="P1795" s="6">
        <v>43306.252881944441</v>
      </c>
      <c r="Q1795" s="16" t="s">
        <v>60</v>
      </c>
      <c r="R1795" s="19"/>
      <c r="S1795" s="12"/>
      <c r="T1795" s="12"/>
      <c r="U1795" s="10" t="str">
        <f>HYPERLINK("https://pbs.twimg.com/profile_images/1030412510514630656/ouNrHPp_.jpg","View")</f>
        <v>View</v>
      </c>
    </row>
    <row r="1796" spans="1:21" ht="20.399999999999999">
      <c r="A1796" s="6">
        <v>43440.918807870374</v>
      </c>
      <c r="B1796" s="7" t="str">
        <f>HYPERLINK("https://twitter.com/Pinchisca","@Pinchisca")</f>
        <v>@Pinchisca</v>
      </c>
      <c r="C1796" s="8" t="s">
        <v>6235</v>
      </c>
      <c r="D1796" s="9" t="s">
        <v>1791</v>
      </c>
      <c r="E1796" s="10" t="str">
        <f>HYPERLINK("https://twitter.com/Pinchisca/status/1070785723010232320","1070785723010232320")</f>
        <v>1070785723010232320</v>
      </c>
      <c r="F1796" s="11" t="s">
        <v>6155</v>
      </c>
      <c r="G1796" s="11" t="s">
        <v>6236</v>
      </c>
      <c r="H1796" s="12"/>
      <c r="I1796" s="13">
        <v>0</v>
      </c>
      <c r="J1796" s="13">
        <v>0</v>
      </c>
      <c r="K1796" s="14" t="str">
        <f>HYPERLINK("https://dlvrit.com/","dlvr.it")</f>
        <v>dlvr.it</v>
      </c>
      <c r="L1796" s="13">
        <v>10466</v>
      </c>
      <c r="M1796" s="13">
        <v>6220</v>
      </c>
      <c r="N1796" s="13">
        <v>53</v>
      </c>
      <c r="O1796" s="15"/>
      <c r="P1796" s="6">
        <v>41738.728159722225</v>
      </c>
      <c r="Q1796" s="12"/>
      <c r="R1796" s="17" t="s">
        <v>6237</v>
      </c>
      <c r="S1796" s="12"/>
      <c r="T1796" s="12"/>
      <c r="U1796" s="10" t="str">
        <f>HYPERLINK("https://pbs.twimg.com/profile_images/538755350183567360/VXYQA_aJ.jpeg","View")</f>
        <v>View</v>
      </c>
    </row>
    <row r="1797" spans="1:21" ht="20.399999999999999">
      <c r="A1797" s="6">
        <v>43440.918020833335</v>
      </c>
      <c r="B1797" s="7" t="str">
        <f>HYPERLINK("https://twitter.com/valeriodistefan","@valeriodistefan")</f>
        <v>@valeriodistefan</v>
      </c>
      <c r="C1797" s="8" t="s">
        <v>6238</v>
      </c>
      <c r="D1797" s="9" t="s">
        <v>6239</v>
      </c>
      <c r="E1797" s="10" t="str">
        <f>HYPERLINK("https://twitter.com/valeriodistefan/status/1070785439269904384","1070785439269904384")</f>
        <v>1070785439269904384</v>
      </c>
      <c r="F1797" s="12"/>
      <c r="G1797" s="12"/>
      <c r="H1797" s="12"/>
      <c r="I1797" s="13">
        <v>0</v>
      </c>
      <c r="J1797" s="13">
        <v>0</v>
      </c>
      <c r="K1797" s="14" t="str">
        <f>HYPERLINK("https://mobile.twitter.com","Twitter Lite")</f>
        <v>Twitter Lite</v>
      </c>
      <c r="L1797" s="13">
        <v>194</v>
      </c>
      <c r="M1797" s="13">
        <v>179</v>
      </c>
      <c r="N1797" s="13">
        <v>12</v>
      </c>
      <c r="O1797" s="15"/>
      <c r="P1797" s="6">
        <v>39871.413865740738</v>
      </c>
      <c r="Q1797" s="16" t="s">
        <v>6240</v>
      </c>
      <c r="R1797" s="17" t="s">
        <v>6241</v>
      </c>
      <c r="S1797" s="11" t="s">
        <v>6242</v>
      </c>
      <c r="T1797" s="12"/>
      <c r="U1797" s="10" t="str">
        <f>HYPERLINK("https://pbs.twimg.com/profile_images/134907829/fototwitter.jpg","View")</f>
        <v>View</v>
      </c>
    </row>
    <row r="1798" spans="1:21" ht="30.6">
      <c r="A1798" s="6">
        <v>43440.917569444442</v>
      </c>
      <c r="B1798" s="7" t="str">
        <f>HYPERLINK("https://twitter.com/Jesusico131","@Jesusico131")</f>
        <v>@Jesusico131</v>
      </c>
      <c r="C1798" s="8" t="s">
        <v>6243</v>
      </c>
      <c r="D1798" s="9" t="s">
        <v>6244</v>
      </c>
      <c r="E1798" s="10" t="str">
        <f>HYPERLINK("https://twitter.com/Jesusico131/status/1070785276946120704","1070785276946120704")</f>
        <v>1070785276946120704</v>
      </c>
      <c r="F1798" s="11" t="s">
        <v>246</v>
      </c>
      <c r="G1798" s="12"/>
      <c r="H1798" s="12"/>
      <c r="I1798" s="13">
        <v>0</v>
      </c>
      <c r="J1798" s="13">
        <v>0</v>
      </c>
      <c r="K1798" s="14" t="str">
        <f>HYPERLINK("http://twitter.com/download/android","Twitter for Android")</f>
        <v>Twitter for Android</v>
      </c>
      <c r="L1798" s="13">
        <v>47</v>
      </c>
      <c r="M1798" s="13">
        <v>117</v>
      </c>
      <c r="N1798" s="13">
        <v>0</v>
      </c>
      <c r="O1798" s="15"/>
      <c r="P1798" s="6">
        <v>43390.474641203706</v>
      </c>
      <c r="Q1798" s="16" t="s">
        <v>1003</v>
      </c>
      <c r="R1798" s="19"/>
      <c r="S1798" s="12"/>
      <c r="T1798" s="12"/>
      <c r="U1798" s="10" t="str">
        <f>HYPERLINK("https://pbs.twimg.com/profile_images/1059842644053057536/jeym2J1t.jpg","View")</f>
        <v>View</v>
      </c>
    </row>
    <row r="1799" spans="1:21" ht="30.6">
      <c r="A1799" s="6">
        <v>43440.916608796295</v>
      </c>
      <c r="B1799" s="7" t="str">
        <f>HYPERLINK("https://twitter.com/ANAMORADILLO","@ANAMORADILLO")</f>
        <v>@ANAMORADILLO</v>
      </c>
      <c r="C1799" s="8" t="s">
        <v>6245</v>
      </c>
      <c r="D1799" s="9" t="s">
        <v>6246</v>
      </c>
      <c r="E1799" s="10" t="str">
        <f>HYPERLINK("https://twitter.com/ANAMORADILLO/status/1070784927350865920","1070784927350865920")</f>
        <v>1070784927350865920</v>
      </c>
      <c r="F1799" s="11" t="s">
        <v>6247</v>
      </c>
      <c r="G1799" s="12"/>
      <c r="H1799" s="12"/>
      <c r="I1799" s="13">
        <v>0</v>
      </c>
      <c r="J1799" s="13">
        <v>0</v>
      </c>
      <c r="K1799" s="14" t="str">
        <f>HYPERLINK("http://twitter.com","Twitter Web Client")</f>
        <v>Twitter Web Client</v>
      </c>
      <c r="L1799" s="13">
        <v>257</v>
      </c>
      <c r="M1799" s="13">
        <v>351</v>
      </c>
      <c r="N1799" s="13">
        <v>5</v>
      </c>
      <c r="O1799" s="15"/>
      <c r="P1799" s="6">
        <v>41030.730671296296</v>
      </c>
      <c r="Q1799" s="12"/>
      <c r="R1799" s="19"/>
      <c r="S1799" s="12"/>
      <c r="T1799" s="12"/>
      <c r="U1799" s="10" t="str">
        <f>HYPERLINK("https://pbs.twimg.com/profile_images/420221306475655168/m6-uRSWp.jpeg","View")</f>
        <v>View</v>
      </c>
    </row>
    <row r="1800" spans="1:21" ht="30.6">
      <c r="A1800" s="6">
        <v>43440.916400462964</v>
      </c>
      <c r="B1800" s="7" t="str">
        <f>HYPERLINK("https://twitter.com/Salvador_vet","@Salvador_vet")</f>
        <v>@Salvador_vet</v>
      </c>
      <c r="C1800" s="8" t="s">
        <v>296</v>
      </c>
      <c r="D1800" s="9" t="s">
        <v>4213</v>
      </c>
      <c r="E1800" s="10" t="str">
        <f>HYPERLINK("https://twitter.com/Salvador_vet/status/1070784852964900871","1070784852964900871")</f>
        <v>1070784852964900871</v>
      </c>
      <c r="F1800" s="11" t="s">
        <v>467</v>
      </c>
      <c r="G1800" s="12"/>
      <c r="H1800" s="12"/>
      <c r="I1800" s="13">
        <v>0</v>
      </c>
      <c r="J1800" s="13">
        <v>0</v>
      </c>
      <c r="K1800" s="14" t="str">
        <f>HYPERLINK("http://twitter.com/download/iphone","Twitter for iPhone")</f>
        <v>Twitter for iPhone</v>
      </c>
      <c r="L1800" s="13">
        <v>1607</v>
      </c>
      <c r="M1800" s="13">
        <v>1796</v>
      </c>
      <c r="N1800" s="13">
        <v>29</v>
      </c>
      <c r="O1800" s="15"/>
      <c r="P1800" s="6">
        <v>42396.532488425924</v>
      </c>
      <c r="Q1800" s="16" t="s">
        <v>306</v>
      </c>
      <c r="R1800" s="17" t="s">
        <v>307</v>
      </c>
      <c r="S1800" s="12"/>
      <c r="T1800" s="12"/>
      <c r="U1800" s="10" t="str">
        <f>HYPERLINK("https://pbs.twimg.com/profile_images/994472126680838144/Qqaadw-m.jpg","View")</f>
        <v>View</v>
      </c>
    </row>
    <row r="1801" spans="1:21" ht="20.399999999999999">
      <c r="A1801" s="6">
        <v>43440.915196759262</v>
      </c>
      <c r="B1801" s="7" t="str">
        <f>HYPERLINK("https://twitter.com/Ruayn","@Ruayn")</f>
        <v>@Ruayn</v>
      </c>
      <c r="C1801" s="8" t="s">
        <v>6248</v>
      </c>
      <c r="D1801" s="9" t="s">
        <v>1324</v>
      </c>
      <c r="E1801" s="10" t="str">
        <f>HYPERLINK("https://twitter.com/Ruayn/status/1070784414609784832","1070784414609784832")</f>
        <v>1070784414609784832</v>
      </c>
      <c r="F1801" s="11" t="s">
        <v>467</v>
      </c>
      <c r="G1801" s="12"/>
      <c r="H1801" s="12"/>
      <c r="I1801" s="13">
        <v>0</v>
      </c>
      <c r="J1801" s="13">
        <v>0</v>
      </c>
      <c r="K1801" s="14" t="str">
        <f>HYPERLINK("http://twitter.com/download/android","Twitter for Android")</f>
        <v>Twitter for Android</v>
      </c>
      <c r="L1801" s="13">
        <v>593</v>
      </c>
      <c r="M1801" s="13">
        <v>514</v>
      </c>
      <c r="N1801" s="13">
        <v>11</v>
      </c>
      <c r="O1801" s="15"/>
      <c r="P1801" s="6">
        <v>40513.750138888892</v>
      </c>
      <c r="Q1801" s="16" t="s">
        <v>6249</v>
      </c>
      <c r="R1801" s="17" t="s">
        <v>6250</v>
      </c>
      <c r="S1801" s="12"/>
      <c r="T1801" s="12"/>
      <c r="U1801" s="10" t="str">
        <f>HYPERLINK("https://pbs.twimg.com/profile_images/1739746374/asturias_13-18.2011_009.JPG","View")</f>
        <v>View</v>
      </c>
    </row>
    <row r="1802" spans="1:21" ht="30.6">
      <c r="A1802" s="6">
        <v>43440.914444444439</v>
      </c>
      <c r="B1802" s="7" t="str">
        <f>HYPERLINK("https://twitter.com/catymu2","@catymu2")</f>
        <v>@catymu2</v>
      </c>
      <c r="C1802" s="8" t="s">
        <v>1908</v>
      </c>
      <c r="D1802" s="9" t="s">
        <v>1514</v>
      </c>
      <c r="E1802" s="10" t="str">
        <f>HYPERLINK("https://twitter.com/catymu2/status/1070784140994326528","1070784140994326528")</f>
        <v>1070784140994326528</v>
      </c>
      <c r="F1802" s="11" t="s">
        <v>246</v>
      </c>
      <c r="G1802" s="12"/>
      <c r="H1802" s="12"/>
      <c r="I1802" s="13">
        <v>0</v>
      </c>
      <c r="J1802" s="13">
        <v>0</v>
      </c>
      <c r="K1802" s="14" t="str">
        <f>HYPERLINK("http://twitter.com","Twitter Web Client")</f>
        <v>Twitter Web Client</v>
      </c>
      <c r="L1802" s="13">
        <v>43</v>
      </c>
      <c r="M1802" s="13">
        <v>129</v>
      </c>
      <c r="N1802" s="13">
        <v>0</v>
      </c>
      <c r="O1802" s="15"/>
      <c r="P1802" s="6">
        <v>42432.456226851849</v>
      </c>
      <c r="Q1802" s="16" t="s">
        <v>60</v>
      </c>
      <c r="R1802" s="19"/>
      <c r="S1802" s="12"/>
      <c r="T1802" s="12"/>
      <c r="U1802" s="10" t="str">
        <f>HYPERLINK("https://pbs.twimg.com/profile_images/1009103258785402882/34q9w8XC.jpg","View")</f>
        <v>View</v>
      </c>
    </row>
    <row r="1803" spans="1:21" ht="20.399999999999999">
      <c r="A1803" s="6">
        <v>43440.913576388892</v>
      </c>
      <c r="B1803" s="7" t="str">
        <f>HYPERLINK("https://twitter.com/Cafecito_News","@Cafecito_News")</f>
        <v>@Cafecito_News</v>
      </c>
      <c r="C1803" s="8" t="s">
        <v>3848</v>
      </c>
      <c r="D1803" s="9" t="s">
        <v>3001</v>
      </c>
      <c r="E1803" s="10" t="str">
        <f>HYPERLINK("https://twitter.com/Cafecito_News/status/1070783829533704192","1070783829533704192")</f>
        <v>1070783829533704192</v>
      </c>
      <c r="F1803" s="11" t="s">
        <v>3688</v>
      </c>
      <c r="G1803" s="11" t="s">
        <v>6252</v>
      </c>
      <c r="H1803" s="12"/>
      <c r="I1803" s="13">
        <v>0</v>
      </c>
      <c r="J1803" s="13">
        <v>1</v>
      </c>
      <c r="K1803" s="14" t="str">
        <f>HYPERLINK("http://epmundo.com","Tuiteo TOP EP (3)")</f>
        <v>Tuiteo TOP EP (3)</v>
      </c>
      <c r="L1803" s="13">
        <v>25948</v>
      </c>
      <c r="M1803" s="13">
        <v>25951</v>
      </c>
      <c r="N1803" s="13">
        <v>106</v>
      </c>
      <c r="O1803" s="15"/>
      <c r="P1803" s="6">
        <v>42269.110787037032</v>
      </c>
      <c r="Q1803" s="12"/>
      <c r="R1803" s="17" t="s">
        <v>3850</v>
      </c>
      <c r="S1803" s="12"/>
      <c r="T1803" s="12"/>
      <c r="U1803" s="10" t="str">
        <f>HYPERLINK("https://pbs.twimg.com/profile_images/913460356625960960/2wYwy3H7.jpg","View")</f>
        <v>View</v>
      </c>
    </row>
    <row r="1804" spans="1:21" ht="40.799999999999997">
      <c r="A1804" s="6">
        <v>43440.912951388891</v>
      </c>
      <c r="B1804" s="7" t="str">
        <f>HYPERLINK("https://twitter.com/caval100","@caval100")</f>
        <v>@caval100</v>
      </c>
      <c r="C1804" s="8" t="s">
        <v>501</v>
      </c>
      <c r="D1804" s="9" t="s">
        <v>4337</v>
      </c>
      <c r="E1804" s="10" t="str">
        <f>HYPERLINK("https://twitter.com/caval100/status/1070783601359417344","1070783601359417344")</f>
        <v>1070783601359417344</v>
      </c>
      <c r="F1804" s="11" t="s">
        <v>4338</v>
      </c>
      <c r="G1804" s="12"/>
      <c r="H1804" s="12"/>
      <c r="I1804" s="13">
        <v>1</v>
      </c>
      <c r="J1804" s="13">
        <v>0</v>
      </c>
      <c r="K1804" s="14" t="str">
        <f>HYPERLINK("http://twitter.com/download/android","Twitter for Android")</f>
        <v>Twitter for Android</v>
      </c>
      <c r="L1804" s="13">
        <v>119343</v>
      </c>
      <c r="M1804" s="13">
        <v>94000</v>
      </c>
      <c r="N1804" s="13">
        <v>982</v>
      </c>
      <c r="O1804" s="15"/>
      <c r="P1804" s="6">
        <v>40079.437094907407</v>
      </c>
      <c r="Q1804" s="16" t="s">
        <v>505</v>
      </c>
      <c r="R1804" s="17" t="s">
        <v>506</v>
      </c>
      <c r="S1804" s="11" t="s">
        <v>507</v>
      </c>
      <c r="T1804" s="12"/>
      <c r="U1804" s="10" t="str">
        <f>HYPERLINK("https://pbs.twimg.com/profile_images/965350678301429760/uvGI7g8U.jpg","View")</f>
        <v>View</v>
      </c>
    </row>
    <row r="1805" spans="1:21" ht="30.6">
      <c r="A1805" s="6">
        <v>43440.912905092591</v>
      </c>
      <c r="B1805" s="7" t="str">
        <f>HYPERLINK("https://twitter.com/Ignatusa","@Ignatusa")</f>
        <v>@Ignatusa</v>
      </c>
      <c r="C1805" s="8" t="s">
        <v>6253</v>
      </c>
      <c r="D1805" s="9" t="s">
        <v>1514</v>
      </c>
      <c r="E1805" s="10" t="str">
        <f>HYPERLINK("https://twitter.com/Ignatusa/status/1070783584267583489","1070783584267583489")</f>
        <v>1070783584267583489</v>
      </c>
      <c r="F1805" s="11" t="s">
        <v>246</v>
      </c>
      <c r="G1805" s="12"/>
      <c r="H1805" s="12"/>
      <c r="I1805" s="13">
        <v>0</v>
      </c>
      <c r="J1805" s="13">
        <v>1</v>
      </c>
      <c r="K1805" s="14" t="str">
        <f>HYPERLINK("http://twitter.com","Twitter Web Client")</f>
        <v>Twitter Web Client</v>
      </c>
      <c r="L1805" s="13">
        <v>994</v>
      </c>
      <c r="M1805" s="13">
        <v>2384</v>
      </c>
      <c r="N1805" s="13">
        <v>7</v>
      </c>
      <c r="O1805" s="15"/>
      <c r="P1805" s="6">
        <v>41035.768865740742</v>
      </c>
      <c r="Q1805" s="12"/>
      <c r="R1805" s="17" t="s">
        <v>6254</v>
      </c>
      <c r="S1805" s="11" t="s">
        <v>6255</v>
      </c>
      <c r="T1805" s="12"/>
      <c r="U1805" s="10" t="str">
        <f>HYPERLINK("https://pbs.twimg.com/profile_images/1070387300037742594/XJ6VHHbn.jpg","View")</f>
        <v>View</v>
      </c>
    </row>
    <row r="1806" spans="1:21" ht="30.6">
      <c r="A1806" s="6">
        <v>43440.912835648152</v>
      </c>
      <c r="B1806" s="7" t="str">
        <f>HYPERLINK("https://twitter.com/Salvador_vet","@Salvador_vet")</f>
        <v>@Salvador_vet</v>
      </c>
      <c r="C1806" s="8" t="s">
        <v>296</v>
      </c>
      <c r="D1806" s="9" t="s">
        <v>6256</v>
      </c>
      <c r="E1806" s="10" t="str">
        <f>HYPERLINK("https://twitter.com/Salvador_vet/status/1070783560074870784","1070783560074870784")</f>
        <v>1070783560074870784</v>
      </c>
      <c r="F1806" s="11" t="s">
        <v>246</v>
      </c>
      <c r="G1806" s="12"/>
      <c r="H1806" s="12"/>
      <c r="I1806" s="13">
        <v>0</v>
      </c>
      <c r="J1806" s="13">
        <v>1</v>
      </c>
      <c r="K1806" s="14" t="str">
        <f>HYPERLINK("http://twitter.com/download/iphone","Twitter for iPhone")</f>
        <v>Twitter for iPhone</v>
      </c>
      <c r="L1806" s="13">
        <v>1607</v>
      </c>
      <c r="M1806" s="13">
        <v>1796</v>
      </c>
      <c r="N1806" s="13">
        <v>29</v>
      </c>
      <c r="O1806" s="15"/>
      <c r="P1806" s="6">
        <v>42396.532488425924</v>
      </c>
      <c r="Q1806" s="16" t="s">
        <v>306</v>
      </c>
      <c r="R1806" s="17" t="s">
        <v>307</v>
      </c>
      <c r="S1806" s="12"/>
      <c r="T1806" s="12"/>
      <c r="U1806" s="10" t="str">
        <f>HYPERLINK("https://pbs.twimg.com/profile_images/994472126680838144/Qqaadw-m.jpg","View")</f>
        <v>View</v>
      </c>
    </row>
    <row r="1807" spans="1:21" ht="51">
      <c r="A1807" s="6">
        <v>43440.912581018521</v>
      </c>
      <c r="B1807" s="7" t="str">
        <f>HYPERLINK("https://twitter.com/caval100","@caval100")</f>
        <v>@caval100</v>
      </c>
      <c r="C1807" s="8" t="s">
        <v>501</v>
      </c>
      <c r="D1807" s="9" t="s">
        <v>4783</v>
      </c>
      <c r="E1807" s="10" t="str">
        <f>HYPERLINK("https://twitter.com/caval100/status/1070783465430372354","1070783465430372354")</f>
        <v>1070783465430372354</v>
      </c>
      <c r="F1807" s="11" t="s">
        <v>4784</v>
      </c>
      <c r="G1807" s="12"/>
      <c r="H1807" s="12"/>
      <c r="I1807" s="13">
        <v>1</v>
      </c>
      <c r="J1807" s="13">
        <v>0</v>
      </c>
      <c r="K1807" s="14" t="str">
        <f>HYPERLINK("http://twitter.com/download/android","Twitter for Android")</f>
        <v>Twitter for Android</v>
      </c>
      <c r="L1807" s="13">
        <v>119343</v>
      </c>
      <c r="M1807" s="13">
        <v>94000</v>
      </c>
      <c r="N1807" s="13">
        <v>982</v>
      </c>
      <c r="O1807" s="15"/>
      <c r="P1807" s="6">
        <v>40079.437094907407</v>
      </c>
      <c r="Q1807" s="16" t="s">
        <v>505</v>
      </c>
      <c r="R1807" s="17" t="s">
        <v>506</v>
      </c>
      <c r="S1807" s="11" t="s">
        <v>507</v>
      </c>
      <c r="T1807" s="12"/>
      <c r="U1807" s="10" t="str">
        <f>HYPERLINK("https://pbs.twimg.com/profile_images/965350678301429760/uvGI7g8U.jpg","View")</f>
        <v>View</v>
      </c>
    </row>
    <row r="1808" spans="1:21" ht="51">
      <c r="A1808" s="6">
        <v>43440.912476851852</v>
      </c>
      <c r="B1808" s="7" t="str">
        <f>HYPERLINK("https://twitter.com/zamozu","@zamozu")</f>
        <v>@zamozu</v>
      </c>
      <c r="C1808" s="8" t="s">
        <v>2879</v>
      </c>
      <c r="D1808" s="9" t="s">
        <v>6258</v>
      </c>
      <c r="E1808" s="10" t="str">
        <f>HYPERLINK("https://twitter.com/zamozu/status/1070783427895533573","1070783427895533573")</f>
        <v>1070783427895533573</v>
      </c>
      <c r="F1808" s="12"/>
      <c r="G1808" s="12"/>
      <c r="H1808" s="12"/>
      <c r="I1808" s="13">
        <v>0</v>
      </c>
      <c r="J1808" s="13">
        <v>0</v>
      </c>
      <c r="K1808" s="14" t="str">
        <f t="shared" ref="K1808:K1809" si="315">HYPERLINK("http://twitter.com","Twitter Web Client")</f>
        <v>Twitter Web Client</v>
      </c>
      <c r="L1808" s="13">
        <v>624</v>
      </c>
      <c r="M1808" s="13">
        <v>1496</v>
      </c>
      <c r="N1808" s="13">
        <v>2</v>
      </c>
      <c r="O1808" s="15"/>
      <c r="P1808" s="6">
        <v>40641.783576388887</v>
      </c>
      <c r="Q1808" s="16" t="s">
        <v>60</v>
      </c>
      <c r="R1808" s="17" t="s">
        <v>2882</v>
      </c>
      <c r="S1808" s="11" t="s">
        <v>2883</v>
      </c>
      <c r="T1808" s="12"/>
      <c r="U1808" s="10" t="str">
        <f>HYPERLINK("https://pbs.twimg.com/profile_images/1877270561/09.jpg","View")</f>
        <v>View</v>
      </c>
    </row>
    <row r="1809" spans="1:21" ht="20.399999999999999">
      <c r="A1809" s="6">
        <v>43440.911898148144</v>
      </c>
      <c r="B1809" s="7" t="str">
        <f>HYPERLINK("https://twitter.com/ANAMORADILLO","@ANAMORADILLO")</f>
        <v>@ANAMORADILLO</v>
      </c>
      <c r="C1809" s="8" t="s">
        <v>6245</v>
      </c>
      <c r="D1809" s="9" t="s">
        <v>6259</v>
      </c>
      <c r="E1809" s="10" t="str">
        <f>HYPERLINK("https://twitter.com/ANAMORADILLO/status/1070783218947887104","1070783218947887104")</f>
        <v>1070783218947887104</v>
      </c>
      <c r="F1809" s="11" t="s">
        <v>6260</v>
      </c>
      <c r="G1809" s="12"/>
      <c r="H1809" s="12"/>
      <c r="I1809" s="13">
        <v>0</v>
      </c>
      <c r="J1809" s="13">
        <v>0</v>
      </c>
      <c r="K1809" s="14" t="str">
        <f t="shared" si="315"/>
        <v>Twitter Web Client</v>
      </c>
      <c r="L1809" s="13">
        <v>257</v>
      </c>
      <c r="M1809" s="13">
        <v>351</v>
      </c>
      <c r="N1809" s="13">
        <v>5</v>
      </c>
      <c r="O1809" s="15"/>
      <c r="P1809" s="6">
        <v>41030.730671296296</v>
      </c>
      <c r="Q1809" s="12"/>
      <c r="R1809" s="19"/>
      <c r="S1809" s="12"/>
      <c r="T1809" s="12"/>
      <c r="U1809" s="10" t="str">
        <f>HYPERLINK("https://pbs.twimg.com/profile_images/420221306475655168/m6-uRSWp.jpeg","View")</f>
        <v>View</v>
      </c>
    </row>
    <row r="1810" spans="1:21" ht="30.6">
      <c r="A1810" s="6">
        <v>43440.911481481482</v>
      </c>
      <c r="B1810" s="7" t="str">
        <f>HYPERLINK("https://twitter.com/LadeAtapuerca","@LadeAtapuerca")</f>
        <v>@LadeAtapuerca</v>
      </c>
      <c r="C1810" s="8" t="s">
        <v>6261</v>
      </c>
      <c r="D1810" s="9" t="s">
        <v>6262</v>
      </c>
      <c r="E1810" s="10" t="str">
        <f>HYPERLINK("https://twitter.com/LadeAtapuerca/status/1070783070977044481","1070783070977044481")</f>
        <v>1070783070977044481</v>
      </c>
      <c r="F1810" s="11" t="s">
        <v>246</v>
      </c>
      <c r="G1810" s="12"/>
      <c r="H1810" s="12"/>
      <c r="I1810" s="13">
        <v>0</v>
      </c>
      <c r="J1810" s="13">
        <v>0</v>
      </c>
      <c r="K1810" s="14" t="str">
        <f t="shared" ref="K1810:K1811" si="316">HYPERLINK("http://twitter.com/#!/download/ipad","Twitter for iPad")</f>
        <v>Twitter for iPad</v>
      </c>
      <c r="L1810" s="13">
        <v>95</v>
      </c>
      <c r="M1810" s="13">
        <v>216</v>
      </c>
      <c r="N1810" s="13">
        <v>6</v>
      </c>
      <c r="O1810" s="15"/>
      <c r="P1810" s="6">
        <v>41440.843402777777</v>
      </c>
      <c r="Q1810" s="16" t="s">
        <v>2891</v>
      </c>
      <c r="R1810" s="17" t="s">
        <v>6263</v>
      </c>
      <c r="S1810" s="12"/>
      <c r="T1810" s="12"/>
      <c r="U1810" s="10" t="str">
        <f>HYPERLINK("https://pbs.twimg.com/profile_images/669102612751454208/6VzA0_dS.jpg","View")</f>
        <v>View</v>
      </c>
    </row>
    <row r="1811" spans="1:21" ht="40.799999999999997">
      <c r="A1811" s="6">
        <v>43440.911458333328</v>
      </c>
      <c r="B1811" s="7" t="str">
        <f>HYPERLINK("https://twitter.com/MJFSanSegundo","@MJFSanSegundo")</f>
        <v>@MJFSanSegundo</v>
      </c>
      <c r="C1811" s="8" t="s">
        <v>6264</v>
      </c>
      <c r="D1811" s="9" t="s">
        <v>6265</v>
      </c>
      <c r="E1811" s="10" t="str">
        <f>HYPERLINK("https://twitter.com/MJFSanSegundo/status/1070783062479462401","1070783062479462401")</f>
        <v>1070783062479462401</v>
      </c>
      <c r="F1811" s="11" t="s">
        <v>6136</v>
      </c>
      <c r="G1811" s="12"/>
      <c r="H1811" s="12"/>
      <c r="I1811" s="13">
        <v>0</v>
      </c>
      <c r="J1811" s="13">
        <v>1</v>
      </c>
      <c r="K1811" s="14" t="str">
        <f t="shared" si="316"/>
        <v>Twitter for iPad</v>
      </c>
      <c r="L1811" s="13">
        <v>7154</v>
      </c>
      <c r="M1811" s="13">
        <v>4965</v>
      </c>
      <c r="N1811" s="13">
        <v>149</v>
      </c>
      <c r="O1811" s="18" t="s">
        <v>41</v>
      </c>
      <c r="P1811" s="6">
        <v>40769.062465277777</v>
      </c>
      <c r="Q1811" s="16" t="s">
        <v>6266</v>
      </c>
      <c r="R1811" s="17" t="s">
        <v>6267</v>
      </c>
      <c r="S1811" s="11" t="s">
        <v>6268</v>
      </c>
      <c r="T1811" s="12"/>
      <c r="U1811" s="10" t="str">
        <f>HYPERLINK("https://pbs.twimg.com/profile_images/792943778193666048/h88KULRv.jpg","View")</f>
        <v>View</v>
      </c>
    </row>
    <row r="1812" spans="1:21" ht="20.399999999999999">
      <c r="A1812" s="6">
        <v>43440.911030092597</v>
      </c>
      <c r="B1812" s="7" t="str">
        <f>HYPERLINK("https://twitter.com/18dejulio36","@18dejulio36")</f>
        <v>@18dejulio36</v>
      </c>
      <c r="C1812" s="8" t="s">
        <v>6164</v>
      </c>
      <c r="D1812" s="9" t="s">
        <v>4814</v>
      </c>
      <c r="E1812" s="10" t="str">
        <f>HYPERLINK("https://twitter.com/18dejulio36/status/1070782906296094725","1070782906296094725")</f>
        <v>1070782906296094725</v>
      </c>
      <c r="F1812" s="11" t="s">
        <v>4815</v>
      </c>
      <c r="G1812" s="12"/>
      <c r="H1812" s="12"/>
      <c r="I1812" s="13">
        <v>0</v>
      </c>
      <c r="J1812" s="13">
        <v>0</v>
      </c>
      <c r="K1812" s="14" t="str">
        <f>HYPERLINK("http://twitter.com/download/android","Twitter for Android")</f>
        <v>Twitter for Android</v>
      </c>
      <c r="L1812" s="13">
        <v>1336</v>
      </c>
      <c r="M1812" s="13">
        <v>644</v>
      </c>
      <c r="N1812" s="13">
        <v>83</v>
      </c>
      <c r="O1812" s="15"/>
      <c r="P1812" s="6">
        <v>41509.510497685187</v>
      </c>
      <c r="Q1812" s="16" t="s">
        <v>6165</v>
      </c>
      <c r="R1812" s="17" t="s">
        <v>6166</v>
      </c>
      <c r="S1812" s="12"/>
      <c r="T1812" s="12"/>
      <c r="U1812" s="10" t="str">
        <f>HYPERLINK("https://pbs.twimg.com/profile_images/647371484000845824/XCHRL0HG.jpg","View")</f>
        <v>View</v>
      </c>
    </row>
    <row r="1813" spans="1:21" ht="20.399999999999999">
      <c r="A1813" s="6">
        <v>43440.910578703704</v>
      </c>
      <c r="B1813" s="7" t="str">
        <f>HYPERLINK("https://twitter.com/TheCormental","@TheCormental")</f>
        <v>@TheCormental</v>
      </c>
      <c r="C1813" s="8" t="s">
        <v>6269</v>
      </c>
      <c r="D1813" s="9" t="s">
        <v>6270</v>
      </c>
      <c r="E1813" s="10" t="str">
        <f>HYPERLINK("https://twitter.com/TheCormental/status/1070782741938126849","1070782741938126849")</f>
        <v>1070782741938126849</v>
      </c>
      <c r="F1813" s="11" t="s">
        <v>6271</v>
      </c>
      <c r="G1813" s="12"/>
      <c r="H1813" s="12"/>
      <c r="I1813" s="13">
        <v>0</v>
      </c>
      <c r="J1813" s="13">
        <v>0</v>
      </c>
      <c r="K1813" s="14" t="str">
        <f>HYPERLINK("https://www.google.com/","Google")</f>
        <v>Google</v>
      </c>
      <c r="L1813" s="13">
        <v>646</v>
      </c>
      <c r="M1813" s="13">
        <v>1214</v>
      </c>
      <c r="N1813" s="13">
        <v>69</v>
      </c>
      <c r="O1813" s="15"/>
      <c r="P1813" s="6">
        <v>41385.54146990741</v>
      </c>
      <c r="Q1813" s="16" t="s">
        <v>1493</v>
      </c>
      <c r="R1813" s="17" t="s">
        <v>6272</v>
      </c>
      <c r="S1813" s="11" t="s">
        <v>6273</v>
      </c>
      <c r="T1813" s="12"/>
      <c r="U1813" s="10" t="str">
        <f>HYPERLINK("https://pbs.twimg.com/profile_images/960971237940965376/j3ZMhhtA.jpg","View")</f>
        <v>View</v>
      </c>
    </row>
    <row r="1814" spans="1:21" ht="40.799999999999997">
      <c r="A1814" s="6">
        <v>43440.910185185188</v>
      </c>
      <c r="B1814" s="7" t="str">
        <f>HYPERLINK("https://twitter.com/marisol_bcn69","@marisol_bcn69")</f>
        <v>@marisol_bcn69</v>
      </c>
      <c r="C1814" s="8" t="s">
        <v>6119</v>
      </c>
      <c r="D1814" s="9" t="s">
        <v>6120</v>
      </c>
      <c r="E1814" s="10" t="str">
        <f>HYPERLINK("https://twitter.com/marisol_bcn69/status/1070782601135382528","1070782601135382528")</f>
        <v>1070782601135382528</v>
      </c>
      <c r="F1814" s="11" t="s">
        <v>246</v>
      </c>
      <c r="G1814" s="12"/>
      <c r="H1814" s="12"/>
      <c r="I1814" s="13">
        <v>1</v>
      </c>
      <c r="J1814" s="13">
        <v>2</v>
      </c>
      <c r="K1814" s="14" t="str">
        <f t="shared" ref="K1814:K1816" si="317">HYPERLINK("http://twitter.com/download/android","Twitter for Android")</f>
        <v>Twitter for Android</v>
      </c>
      <c r="L1814" s="13">
        <v>3600</v>
      </c>
      <c r="M1814" s="13">
        <v>5001</v>
      </c>
      <c r="N1814" s="13">
        <v>506</v>
      </c>
      <c r="O1814" s="15"/>
      <c r="P1814" s="6">
        <v>40493.397604166668</v>
      </c>
      <c r="Q1814" s="16" t="s">
        <v>6122</v>
      </c>
      <c r="R1814" s="17" t="s">
        <v>6123</v>
      </c>
      <c r="S1814" s="12"/>
      <c r="T1814" s="12"/>
      <c r="U1814" s="10" t="str">
        <f>HYPERLINK("https://pbs.twimg.com/profile_images/1026159971191410690/pwGx4flH.jpg","View")</f>
        <v>View</v>
      </c>
    </row>
    <row r="1815" spans="1:21" ht="40.799999999999997">
      <c r="A1815" s="6">
        <v>43440.910057870366</v>
      </c>
      <c r="B1815" s="7" t="str">
        <f>HYPERLINK("https://twitter.com/RanaRebelde","@RanaRebelde")</f>
        <v>@RanaRebelde</v>
      </c>
      <c r="C1815" s="8" t="s">
        <v>6274</v>
      </c>
      <c r="D1815" s="9" t="s">
        <v>6275</v>
      </c>
      <c r="E1815" s="10" t="str">
        <f>HYPERLINK("https://twitter.com/RanaRebelde/status/1070782554880516096","1070782554880516096")</f>
        <v>1070782554880516096</v>
      </c>
      <c r="F1815" s="11" t="s">
        <v>246</v>
      </c>
      <c r="G1815" s="12"/>
      <c r="H1815" s="12"/>
      <c r="I1815" s="13">
        <v>0</v>
      </c>
      <c r="J1815" s="13">
        <v>0</v>
      </c>
      <c r="K1815" s="14" t="str">
        <f t="shared" si="317"/>
        <v>Twitter for Android</v>
      </c>
      <c r="L1815" s="13">
        <v>50</v>
      </c>
      <c r="M1815" s="13">
        <v>109</v>
      </c>
      <c r="N1815" s="13">
        <v>0</v>
      </c>
      <c r="O1815" s="15"/>
      <c r="P1815" s="6">
        <v>43136.651226851856</v>
      </c>
      <c r="Q1815" s="12"/>
      <c r="R1815" s="17" t="s">
        <v>6276</v>
      </c>
      <c r="S1815" s="12"/>
      <c r="T1815" s="12"/>
      <c r="U1815" s="10" t="str">
        <f>HYPERLINK("https://pbs.twimg.com/profile_images/960526991723257857/RqrwbcLf.jpg","View")</f>
        <v>View</v>
      </c>
    </row>
    <row r="1816" spans="1:21" ht="20.399999999999999">
      <c r="A1816" s="6">
        <v>43440.908831018518</v>
      </c>
      <c r="B1816" s="7" t="str">
        <f>HYPERLINK("https://twitter.com/Talaverano78","@Talaverano78")</f>
        <v>@Talaverano78</v>
      </c>
      <c r="C1816" s="8" t="s">
        <v>6277</v>
      </c>
      <c r="D1816" s="9" t="s">
        <v>6278</v>
      </c>
      <c r="E1816" s="10" t="str">
        <f>HYPERLINK("https://twitter.com/Talaverano78/status/1070782108044574720","1070782108044574720")</f>
        <v>1070782108044574720</v>
      </c>
      <c r="F1816" s="12"/>
      <c r="G1816" s="11" t="s">
        <v>5964</v>
      </c>
      <c r="H1816" s="12"/>
      <c r="I1816" s="13">
        <v>232</v>
      </c>
      <c r="J1816" s="13">
        <v>218</v>
      </c>
      <c r="K1816" s="14" t="str">
        <f t="shared" si="317"/>
        <v>Twitter for Android</v>
      </c>
      <c r="L1816" s="13">
        <v>14481</v>
      </c>
      <c r="M1816" s="13">
        <v>14536</v>
      </c>
      <c r="N1816" s="13">
        <v>45</v>
      </c>
      <c r="O1816" s="15"/>
      <c r="P1816" s="6">
        <v>41292.52715277778</v>
      </c>
      <c r="Q1816" s="16" t="s">
        <v>5886</v>
      </c>
      <c r="R1816" s="17" t="s">
        <v>6279</v>
      </c>
      <c r="S1816" s="12"/>
      <c r="T1816" s="12"/>
      <c r="U1816" s="10" t="str">
        <f>HYPERLINK("https://pbs.twimg.com/profile_images/957011405751898112/KXm0ELUV.jpg","View")</f>
        <v>View</v>
      </c>
    </row>
    <row r="1817" spans="1:21" ht="20.399999999999999">
      <c r="A1817" s="6">
        <v>43440.908449074079</v>
      </c>
      <c r="B1817" s="7" t="str">
        <f>HYPERLINK("https://twitter.com/Populeiros","@Populeiros")</f>
        <v>@Populeiros</v>
      </c>
      <c r="C1817" s="8" t="s">
        <v>6280</v>
      </c>
      <c r="D1817" s="9" t="s">
        <v>6281</v>
      </c>
      <c r="E1817" s="10" t="str">
        <f>HYPERLINK("https://twitter.com/Populeiros/status/1070781969447993345","1070781969447993345")</f>
        <v>1070781969447993345</v>
      </c>
      <c r="F1817" s="11" t="s">
        <v>6283</v>
      </c>
      <c r="G1817" s="12"/>
      <c r="H1817" s="12"/>
      <c r="I1817" s="13">
        <v>5</v>
      </c>
      <c r="J1817" s="13">
        <v>3</v>
      </c>
      <c r="K1817" s="14" t="str">
        <f>HYPERLINK("http://twitter.com","Twitter Web Client")</f>
        <v>Twitter Web Client</v>
      </c>
      <c r="L1817" s="13">
        <v>5123</v>
      </c>
      <c r="M1817" s="13">
        <v>4593</v>
      </c>
      <c r="N1817" s="13">
        <v>64</v>
      </c>
      <c r="O1817" s="15"/>
      <c r="P1817" s="6">
        <v>42060.691192129627</v>
      </c>
      <c r="Q1817" s="16" t="s">
        <v>6284</v>
      </c>
      <c r="R1817" s="17" t="s">
        <v>6285</v>
      </c>
      <c r="S1817" s="12"/>
      <c r="T1817" s="12"/>
      <c r="U1817" s="10" t="str">
        <f>HYPERLINK("https://pbs.twimg.com/profile_images/774927478938750977/v53NGsaM.jpg","View")</f>
        <v>View</v>
      </c>
    </row>
    <row r="1818" spans="1:21" ht="30.6">
      <c r="A1818" s="6">
        <v>43440.908263888894</v>
      </c>
      <c r="B1818" s="7" t="str">
        <f>HYPERLINK("https://twitter.com/cuin1425","@cuin1425")</f>
        <v>@cuin1425</v>
      </c>
      <c r="C1818" s="8" t="s">
        <v>2120</v>
      </c>
      <c r="D1818" s="9" t="s">
        <v>6286</v>
      </c>
      <c r="E1818" s="10" t="str">
        <f>HYPERLINK("https://twitter.com/cuin1425/status/1070781902171398145","1070781902171398145")</f>
        <v>1070781902171398145</v>
      </c>
      <c r="F1818" s="11" t="s">
        <v>467</v>
      </c>
      <c r="G1818" s="12"/>
      <c r="H1818" s="12"/>
      <c r="I1818" s="13">
        <v>2</v>
      </c>
      <c r="J1818" s="13">
        <v>1</v>
      </c>
      <c r="K1818" s="14" t="str">
        <f t="shared" ref="K1818:K1820" si="318">HYPERLINK("http://www.facebook.com/twitter","Facebook")</f>
        <v>Facebook</v>
      </c>
      <c r="L1818" s="13">
        <v>580</v>
      </c>
      <c r="M1818" s="13">
        <v>977</v>
      </c>
      <c r="N1818" s="13">
        <v>13</v>
      </c>
      <c r="O1818" s="15"/>
      <c r="P1818" s="6">
        <v>40274.437928240739</v>
      </c>
      <c r="Q1818" s="16" t="s">
        <v>2123</v>
      </c>
      <c r="R1818" s="17" t="s">
        <v>2124</v>
      </c>
      <c r="S1818" s="12"/>
      <c r="T1818" s="12"/>
      <c r="U1818" s="10" t="str">
        <f>HYPERLINK("https://pbs.twimg.com/profile_images/820055555305832448/qbgSwEuX.jpg","View")</f>
        <v>View</v>
      </c>
    </row>
    <row r="1819" spans="1:21" ht="20.399999999999999">
      <c r="A1819" s="6">
        <v>43440.907719907409</v>
      </c>
      <c r="B1819" s="7" t="str">
        <f>HYPERLINK("https://twitter.com/elisadocio","@elisadocio")</f>
        <v>@elisadocio</v>
      </c>
      <c r="C1819" s="8" t="s">
        <v>6287</v>
      </c>
      <c r="D1819" s="9" t="s">
        <v>2521</v>
      </c>
      <c r="E1819" s="10" t="str">
        <f>HYPERLINK("https://twitter.com/elisadocio/status/1070781705118728195","1070781705118728195")</f>
        <v>1070781705118728195</v>
      </c>
      <c r="F1819" s="11" t="s">
        <v>3202</v>
      </c>
      <c r="G1819" s="12"/>
      <c r="H1819" s="12"/>
      <c r="I1819" s="13">
        <v>0</v>
      </c>
      <c r="J1819" s="13">
        <v>0</v>
      </c>
      <c r="K1819" s="14" t="str">
        <f t="shared" si="318"/>
        <v>Facebook</v>
      </c>
      <c r="L1819" s="13">
        <v>208</v>
      </c>
      <c r="M1819" s="13">
        <v>359</v>
      </c>
      <c r="N1819" s="13">
        <v>3</v>
      </c>
      <c r="O1819" s="15"/>
      <c r="P1819" s="6">
        <v>39808.986134259263</v>
      </c>
      <c r="Q1819" s="16" t="s">
        <v>6288</v>
      </c>
      <c r="R1819" s="19"/>
      <c r="S1819" s="11" t="s">
        <v>6289</v>
      </c>
      <c r="T1819" s="12"/>
      <c r="U1819" s="10" t="str">
        <f>HYPERLINK("https://pbs.twimg.com/profile_images/106544839/pa310035_edited2.jpg","View")</f>
        <v>View</v>
      </c>
    </row>
    <row r="1820" spans="1:21" ht="30.6">
      <c r="A1820" s="6">
        <v>43440.906458333338</v>
      </c>
      <c r="B1820" s="7" t="str">
        <f>HYPERLINK("https://twitter.com/framosl62","@framosl62")</f>
        <v>@framosl62</v>
      </c>
      <c r="C1820" s="8" t="s">
        <v>6290</v>
      </c>
      <c r="D1820" s="9" t="s">
        <v>6291</v>
      </c>
      <c r="E1820" s="10" t="str">
        <f>HYPERLINK("https://twitter.com/framosl62/status/1070781246740013061","1070781246740013061")</f>
        <v>1070781246740013061</v>
      </c>
      <c r="F1820" s="11" t="s">
        <v>246</v>
      </c>
      <c r="G1820" s="12"/>
      <c r="H1820" s="12"/>
      <c r="I1820" s="13">
        <v>0</v>
      </c>
      <c r="J1820" s="13">
        <v>0</v>
      </c>
      <c r="K1820" s="14" t="str">
        <f t="shared" si="318"/>
        <v>Facebook</v>
      </c>
      <c r="L1820" s="13">
        <v>93</v>
      </c>
      <c r="M1820" s="13">
        <v>200</v>
      </c>
      <c r="N1820" s="13">
        <v>0</v>
      </c>
      <c r="O1820" s="15"/>
      <c r="P1820" s="6">
        <v>40650.968032407407</v>
      </c>
      <c r="Q1820" s="16" t="s">
        <v>1408</v>
      </c>
      <c r="R1820" s="17" t="s">
        <v>6292</v>
      </c>
      <c r="S1820" s="11" t="s">
        <v>6293</v>
      </c>
      <c r="T1820" s="12"/>
      <c r="U1820" s="10" t="str">
        <f>HYPERLINK("https://pbs.twimg.com/profile_images/1069346250007474176/ShxiY9K0.jpg","View")</f>
        <v>View</v>
      </c>
    </row>
    <row r="1821" spans="1:21" ht="71.400000000000006">
      <c r="A1821" s="6">
        <v>43440.905381944445</v>
      </c>
      <c r="B1821" s="7" t="str">
        <f>HYPERLINK("https://twitter.com/sinceridad001","@sinceridad001")</f>
        <v>@sinceridad001</v>
      </c>
      <c r="C1821" s="8" t="s">
        <v>6139</v>
      </c>
      <c r="D1821" s="9" t="s">
        <v>6294</v>
      </c>
      <c r="E1821" s="10" t="str">
        <f>HYPERLINK("https://twitter.com/sinceridad001/status/1070780858968215552","1070780858968215552")</f>
        <v>1070780858968215552</v>
      </c>
      <c r="F1821" s="16" t="s">
        <v>6295</v>
      </c>
      <c r="G1821" s="12"/>
      <c r="H1821" s="12"/>
      <c r="I1821" s="13">
        <v>0</v>
      </c>
      <c r="J1821" s="13">
        <v>0</v>
      </c>
      <c r="K1821" s="14" t="str">
        <f>HYPERLINK("http://twitter.com","Twitter Web Client")</f>
        <v>Twitter Web Client</v>
      </c>
      <c r="L1821" s="13">
        <v>776</v>
      </c>
      <c r="M1821" s="13">
        <v>636</v>
      </c>
      <c r="N1821" s="13">
        <v>8</v>
      </c>
      <c r="O1821" s="15"/>
      <c r="P1821" s="6">
        <v>41629.510868055557</v>
      </c>
      <c r="Q1821" s="12"/>
      <c r="R1821" s="17" t="s">
        <v>6141</v>
      </c>
      <c r="S1821" s="12"/>
      <c r="T1821" s="12"/>
      <c r="U1821" s="10" t="str">
        <f>HYPERLINK("https://pbs.twimg.com/profile_images/953002267464163328/T38v44fO.jpg","View")</f>
        <v>View</v>
      </c>
    </row>
    <row r="1822" spans="1:21" ht="40.799999999999997">
      <c r="A1822" s="6">
        <v>43440.905266203699</v>
      </c>
      <c r="B1822" s="7" t="str">
        <f>HYPERLINK("https://twitter.com/MJFSanSegundo","@MJFSanSegundo")</f>
        <v>@MJFSanSegundo</v>
      </c>
      <c r="C1822" s="8" t="s">
        <v>6264</v>
      </c>
      <c r="D1822" s="9" t="s">
        <v>6296</v>
      </c>
      <c r="E1822" s="10" t="str">
        <f>HYPERLINK("https://twitter.com/MJFSanSegundo/status/1070780816698040320","1070780816698040320")</f>
        <v>1070780816698040320</v>
      </c>
      <c r="F1822" s="11" t="s">
        <v>5419</v>
      </c>
      <c r="G1822" s="12"/>
      <c r="H1822" s="12"/>
      <c r="I1822" s="13">
        <v>1</v>
      </c>
      <c r="J1822" s="13">
        <v>1</v>
      </c>
      <c r="K1822" s="14" t="str">
        <f>HYPERLINK("http://twitter.com/#!/download/ipad","Twitter for iPad")</f>
        <v>Twitter for iPad</v>
      </c>
      <c r="L1822" s="13">
        <v>7154</v>
      </c>
      <c r="M1822" s="13">
        <v>4965</v>
      </c>
      <c r="N1822" s="13">
        <v>149</v>
      </c>
      <c r="O1822" s="18" t="s">
        <v>41</v>
      </c>
      <c r="P1822" s="6">
        <v>40769.062465277777</v>
      </c>
      <c r="Q1822" s="16" t="s">
        <v>6266</v>
      </c>
      <c r="R1822" s="17" t="s">
        <v>6267</v>
      </c>
      <c r="S1822" s="11" t="s">
        <v>6268</v>
      </c>
      <c r="T1822" s="12"/>
      <c r="U1822" s="10" t="str">
        <f>HYPERLINK("https://pbs.twimg.com/profile_images/792943778193666048/h88KULRv.jpg","View")</f>
        <v>View</v>
      </c>
    </row>
    <row r="1823" spans="1:21" ht="13.2">
      <c r="A1823" s="6">
        <v>43440.904166666667</v>
      </c>
      <c r="B1823" s="7" t="str">
        <f>HYPERLINK("https://twitter.com/DanielRoblesPad","@DanielRoblesPad")</f>
        <v>@DanielRoblesPad</v>
      </c>
      <c r="C1823" s="8" t="s">
        <v>6297</v>
      </c>
      <c r="D1823" s="9" t="s">
        <v>6298</v>
      </c>
      <c r="E1823" s="10" t="str">
        <f>HYPERLINK("https://twitter.com/DanielRoblesPad/status/1070780417287049217","1070780417287049217")</f>
        <v>1070780417287049217</v>
      </c>
      <c r="F1823" s="11" t="s">
        <v>2522</v>
      </c>
      <c r="G1823" s="12"/>
      <c r="H1823" s="12"/>
      <c r="I1823" s="13">
        <v>0</v>
      </c>
      <c r="J1823" s="13">
        <v>1</v>
      </c>
      <c r="K1823" s="14" t="str">
        <f t="shared" ref="K1823:K1824" si="319">HYPERLINK("http://twitter.com/download/android","Twitter for Android")</f>
        <v>Twitter for Android</v>
      </c>
      <c r="L1823" s="13">
        <v>356</v>
      </c>
      <c r="M1823" s="13">
        <v>580</v>
      </c>
      <c r="N1823" s="13">
        <v>4</v>
      </c>
      <c r="O1823" s="15"/>
      <c r="P1823" s="6">
        <v>40295.673784722225</v>
      </c>
      <c r="Q1823" s="16" t="s">
        <v>143</v>
      </c>
      <c r="R1823" s="17" t="s">
        <v>6299</v>
      </c>
      <c r="S1823" s="11" t="s">
        <v>6300</v>
      </c>
      <c r="T1823" s="12"/>
      <c r="U1823" s="10" t="str">
        <f>HYPERLINK("https://pbs.twimg.com/profile_images/768775917451743233/fDp1I_dS.jpg","View")</f>
        <v>View</v>
      </c>
    </row>
    <row r="1824" spans="1:21" ht="71.400000000000006">
      <c r="A1824" s="6">
        <v>43440.903668981482</v>
      </c>
      <c r="B1824" s="7" t="str">
        <f>HYPERLINK("https://twitter.com/Kleine_Rudiger","@Kleine_Rudiger")</f>
        <v>@Kleine_Rudiger</v>
      </c>
      <c r="C1824" s="8" t="s">
        <v>6301</v>
      </c>
      <c r="D1824" s="9" t="s">
        <v>6302</v>
      </c>
      <c r="E1824" s="10" t="str">
        <f>HYPERLINK("https://twitter.com/Kleine_Rudiger/status/1070780237087211520","1070780237087211520")</f>
        <v>1070780237087211520</v>
      </c>
      <c r="F1824" s="11" t="s">
        <v>54</v>
      </c>
      <c r="G1824" s="11" t="s">
        <v>55</v>
      </c>
      <c r="H1824" s="12"/>
      <c r="I1824" s="13">
        <v>0</v>
      </c>
      <c r="J1824" s="13">
        <v>0</v>
      </c>
      <c r="K1824" s="14" t="str">
        <f t="shared" si="319"/>
        <v>Twitter for Android</v>
      </c>
      <c r="L1824" s="13">
        <v>63</v>
      </c>
      <c r="M1824" s="13">
        <v>287</v>
      </c>
      <c r="N1824" s="13">
        <v>0</v>
      </c>
      <c r="O1824" s="15"/>
      <c r="P1824" s="6">
        <v>41088.777974537035</v>
      </c>
      <c r="Q1824" s="16" t="s">
        <v>6303</v>
      </c>
      <c r="R1824" s="17" t="s">
        <v>6304</v>
      </c>
      <c r="S1824" s="12"/>
      <c r="T1824" s="12"/>
      <c r="U1824" s="10" t="str">
        <f>HYPERLINK("https://pbs.twimg.com/profile_images/480076100098605056/3X8yEDaB.jpeg","View")</f>
        <v>View</v>
      </c>
    </row>
    <row r="1825" spans="1:21" ht="40.799999999999997">
      <c r="A1825" s="6">
        <v>43440.903368055559</v>
      </c>
      <c r="B1825" s="7" t="str">
        <f>HYPERLINK("https://twitter.com/AitorLourido","@AitorLourido")</f>
        <v>@AitorLourido</v>
      </c>
      <c r="C1825" s="8" t="s">
        <v>6305</v>
      </c>
      <c r="D1825" s="9" t="s">
        <v>6306</v>
      </c>
      <c r="E1825" s="10" t="str">
        <f>HYPERLINK("https://twitter.com/AitorLourido/status/1070780127959752704","1070780127959752704")</f>
        <v>1070780127959752704</v>
      </c>
      <c r="F1825" s="12"/>
      <c r="G1825" s="12"/>
      <c r="H1825" s="12"/>
      <c r="I1825" s="13">
        <v>8</v>
      </c>
      <c r="J1825" s="13">
        <v>41</v>
      </c>
      <c r="K1825" s="14" t="str">
        <f>HYPERLINK("http://twitter.com","Twitter Web Client")</f>
        <v>Twitter Web Client</v>
      </c>
      <c r="L1825" s="13">
        <v>248</v>
      </c>
      <c r="M1825" s="13">
        <v>407</v>
      </c>
      <c r="N1825" s="13">
        <v>10</v>
      </c>
      <c r="O1825" s="15"/>
      <c r="P1825" s="6">
        <v>40100.643020833333</v>
      </c>
      <c r="Q1825" s="16" t="s">
        <v>200</v>
      </c>
      <c r="R1825" s="17" t="s">
        <v>5091</v>
      </c>
      <c r="S1825" s="12"/>
      <c r="T1825" s="12"/>
      <c r="U1825" s="10" t="str">
        <f>HYPERLINK("https://pbs.twimg.com/profile_images/1041588489761054720/o6QTVqX7.jpg","View")</f>
        <v>View</v>
      </c>
    </row>
    <row r="1826" spans="1:21" ht="40.799999999999997">
      <c r="A1826" s="6">
        <v>43440.903287037036</v>
      </c>
      <c r="B1826" s="7" t="str">
        <f>HYPERLINK("https://twitter.com/malagahoy_es","@malagahoy_es")</f>
        <v>@malagahoy_es</v>
      </c>
      <c r="C1826" s="8" t="s">
        <v>6307</v>
      </c>
      <c r="D1826" s="9" t="s">
        <v>6308</v>
      </c>
      <c r="E1826" s="10" t="str">
        <f>HYPERLINK("https://twitter.com/malagahoy_es/status/1070780099497259008","1070780099497259008")</f>
        <v>1070780099497259008</v>
      </c>
      <c r="F1826" s="11" t="s">
        <v>6309</v>
      </c>
      <c r="G1826" s="11" t="s">
        <v>6310</v>
      </c>
      <c r="H1826" s="12"/>
      <c r="I1826" s="13">
        <v>2</v>
      </c>
      <c r="J1826" s="13">
        <v>1</v>
      </c>
      <c r="K1826" s="14" t="str">
        <f t="shared" ref="K1826:K1833" si="320">HYPERLINK("http://dogtrack.es","DogTrack_Oficial")</f>
        <v>DogTrack_Oficial</v>
      </c>
      <c r="L1826" s="13">
        <v>123397</v>
      </c>
      <c r="M1826" s="13">
        <v>7646</v>
      </c>
      <c r="N1826" s="13">
        <v>969</v>
      </c>
      <c r="O1826" s="15"/>
      <c r="P1826" s="6">
        <v>40325.102210648147</v>
      </c>
      <c r="Q1826" s="16" t="s">
        <v>6311</v>
      </c>
      <c r="R1826" s="17" t="s">
        <v>6312</v>
      </c>
      <c r="S1826" s="11" t="s">
        <v>6313</v>
      </c>
      <c r="T1826" s="12"/>
      <c r="U1826" s="10" t="str">
        <f>HYPERLINK("https://pbs.twimg.com/profile_images/931156259105067008/QhW27LFO.jpg","View")</f>
        <v>View</v>
      </c>
    </row>
    <row r="1827" spans="1:21" ht="30.6">
      <c r="A1827" s="6">
        <v>43440.903287037036</v>
      </c>
      <c r="B1827" s="7" t="str">
        <f>HYPERLINK("https://twitter.com/huelva_info","@huelva_info")</f>
        <v>@huelva_info</v>
      </c>
      <c r="C1827" s="8" t="s">
        <v>6315</v>
      </c>
      <c r="D1827" s="9" t="s">
        <v>6308</v>
      </c>
      <c r="E1827" s="10" t="str">
        <f>HYPERLINK("https://twitter.com/huelva_info/status/1070780099451080704","1070780099451080704")</f>
        <v>1070780099451080704</v>
      </c>
      <c r="F1827" s="11" t="s">
        <v>6309</v>
      </c>
      <c r="G1827" s="11" t="s">
        <v>6316</v>
      </c>
      <c r="H1827" s="12"/>
      <c r="I1827" s="13">
        <v>0</v>
      </c>
      <c r="J1827" s="13">
        <v>0</v>
      </c>
      <c r="K1827" s="14" t="str">
        <f t="shared" si="320"/>
        <v>DogTrack_Oficial</v>
      </c>
      <c r="L1827" s="13">
        <v>23537</v>
      </c>
      <c r="M1827" s="13">
        <v>1797</v>
      </c>
      <c r="N1827" s="13">
        <v>431</v>
      </c>
      <c r="O1827" s="15"/>
      <c r="P1827" s="6">
        <v>40548.603043981479</v>
      </c>
      <c r="Q1827" s="16" t="s">
        <v>3929</v>
      </c>
      <c r="R1827" s="17" t="s">
        <v>6317</v>
      </c>
      <c r="S1827" s="11" t="s">
        <v>6318</v>
      </c>
      <c r="T1827" s="12"/>
      <c r="U1827" s="10" t="str">
        <f>HYPERLINK("https://pbs.twimg.com/profile_images/931156491226185728/D8HhoVkY.jpg","View")</f>
        <v>View</v>
      </c>
    </row>
    <row r="1828" spans="1:21" ht="20.399999999999999">
      <c r="A1828" s="6">
        <v>43440.903287037036</v>
      </c>
      <c r="B1828" s="7" t="str">
        <f>HYPERLINK("https://twitter.com/europa_sur","@europa_sur")</f>
        <v>@europa_sur</v>
      </c>
      <c r="C1828" s="8" t="s">
        <v>6319</v>
      </c>
      <c r="D1828" s="9" t="s">
        <v>6308</v>
      </c>
      <c r="E1828" s="10" t="str">
        <f>HYPERLINK("https://twitter.com/europa_sur/status/1070780099233005568","1070780099233005568")</f>
        <v>1070780099233005568</v>
      </c>
      <c r="F1828" s="11" t="s">
        <v>6309</v>
      </c>
      <c r="G1828" s="11" t="s">
        <v>6320</v>
      </c>
      <c r="H1828" s="12"/>
      <c r="I1828" s="13">
        <v>0</v>
      </c>
      <c r="J1828" s="13">
        <v>0</v>
      </c>
      <c r="K1828" s="14" t="str">
        <f t="shared" si="320"/>
        <v>DogTrack_Oficial</v>
      </c>
      <c r="L1828" s="13">
        <v>9275</v>
      </c>
      <c r="M1828" s="13">
        <v>90</v>
      </c>
      <c r="N1828" s="13">
        <v>235</v>
      </c>
      <c r="O1828" s="15"/>
      <c r="P1828" s="6">
        <v>40596.756747685184</v>
      </c>
      <c r="Q1828" s="12"/>
      <c r="R1828" s="17" t="s">
        <v>6321</v>
      </c>
      <c r="S1828" s="11" t="s">
        <v>6322</v>
      </c>
      <c r="T1828" s="12"/>
      <c r="U1828" s="10" t="str">
        <f>HYPERLINK("https://pbs.twimg.com/profile_images/931155733982470149/Kdhx_K85.jpg","View")</f>
        <v>View</v>
      </c>
    </row>
    <row r="1829" spans="1:21" ht="20.399999999999999">
      <c r="A1829" s="6">
        <v>43440.903287037036</v>
      </c>
      <c r="B1829" s="7" t="str">
        <f>HYPERLINK("https://twitter.com/granadahoy","@granadahoy")</f>
        <v>@granadahoy</v>
      </c>
      <c r="C1829" s="8" t="s">
        <v>6323</v>
      </c>
      <c r="D1829" s="9" t="s">
        <v>6308</v>
      </c>
      <c r="E1829" s="10" t="str">
        <f>HYPERLINK("https://twitter.com/granadahoy/status/1070780099220377600","1070780099220377600")</f>
        <v>1070780099220377600</v>
      </c>
      <c r="F1829" s="11" t="s">
        <v>6309</v>
      </c>
      <c r="G1829" s="11" t="s">
        <v>6324</v>
      </c>
      <c r="H1829" s="12"/>
      <c r="I1829" s="13">
        <v>0</v>
      </c>
      <c r="J1829" s="13">
        <v>0</v>
      </c>
      <c r="K1829" s="14" t="str">
        <f t="shared" si="320"/>
        <v>DogTrack_Oficial</v>
      </c>
      <c r="L1829" s="13">
        <v>22710</v>
      </c>
      <c r="M1829" s="13">
        <v>374</v>
      </c>
      <c r="N1829" s="13">
        <v>374</v>
      </c>
      <c r="O1829" s="15"/>
      <c r="P1829" s="6">
        <v>39413.503437499996</v>
      </c>
      <c r="Q1829" s="16" t="s">
        <v>143</v>
      </c>
      <c r="R1829" s="17" t="s">
        <v>6325</v>
      </c>
      <c r="S1829" s="11" t="s">
        <v>6326</v>
      </c>
      <c r="T1829" s="12"/>
      <c r="U1829" s="10" t="str">
        <f>HYPERLINK("https://pbs.twimg.com/profile_images/931155954606985222/9Bi6xbdl.jpg","View")</f>
        <v>View</v>
      </c>
    </row>
    <row r="1830" spans="1:21" ht="20.399999999999999">
      <c r="A1830" s="6">
        <v>43440.903287037036</v>
      </c>
      <c r="B1830" s="7" t="str">
        <f>HYPERLINK("https://twitter.com/diariocadiz","@diariocadiz")</f>
        <v>@diariocadiz</v>
      </c>
      <c r="C1830" s="8" t="s">
        <v>6327</v>
      </c>
      <c r="D1830" s="9" t="s">
        <v>6308</v>
      </c>
      <c r="E1830" s="10" t="str">
        <f>HYPERLINK("https://twitter.com/diariocadiz/status/1070780098847145985","1070780098847145985")</f>
        <v>1070780098847145985</v>
      </c>
      <c r="F1830" s="11" t="s">
        <v>6309</v>
      </c>
      <c r="G1830" s="11" t="s">
        <v>6328</v>
      </c>
      <c r="H1830" s="12"/>
      <c r="I1830" s="13">
        <v>0</v>
      </c>
      <c r="J1830" s="13">
        <v>0</v>
      </c>
      <c r="K1830" s="14" t="str">
        <f t="shared" si="320"/>
        <v>DogTrack_Oficial</v>
      </c>
      <c r="L1830" s="13">
        <v>84897</v>
      </c>
      <c r="M1830" s="13">
        <v>66</v>
      </c>
      <c r="N1830" s="13">
        <v>732</v>
      </c>
      <c r="O1830" s="15"/>
      <c r="P1830" s="6">
        <v>40596.748298611114</v>
      </c>
      <c r="Q1830" s="16" t="s">
        <v>6329</v>
      </c>
      <c r="R1830" s="17" t="s">
        <v>6330</v>
      </c>
      <c r="S1830" s="11" t="s">
        <v>6331</v>
      </c>
      <c r="T1830" s="12"/>
      <c r="U1830" s="10" t="str">
        <f>HYPERLINK("https://pbs.twimg.com/profile_images/931158343888097281/PVq1eivx.jpg","View")</f>
        <v>View</v>
      </c>
    </row>
    <row r="1831" spans="1:21" ht="40.799999999999997">
      <c r="A1831" s="6">
        <v>43440.903287037036</v>
      </c>
      <c r="B1831" s="7" t="str">
        <f>HYPERLINK("https://twitter.com/DiarioDAlmeria","@DiarioDAlmeria")</f>
        <v>@DiarioDAlmeria</v>
      </c>
      <c r="C1831" s="8" t="s">
        <v>6332</v>
      </c>
      <c r="D1831" s="9" t="s">
        <v>6308</v>
      </c>
      <c r="E1831" s="10" t="str">
        <f>HYPERLINK("https://twitter.com/DiarioDAlmeria/status/1070780098717106177","1070780098717106177")</f>
        <v>1070780098717106177</v>
      </c>
      <c r="F1831" s="11" t="s">
        <v>6309</v>
      </c>
      <c r="G1831" s="11" t="s">
        <v>6333</v>
      </c>
      <c r="H1831" s="12"/>
      <c r="I1831" s="13">
        <v>1</v>
      </c>
      <c r="J1831" s="13">
        <v>0</v>
      </c>
      <c r="K1831" s="14" t="str">
        <f t="shared" si="320"/>
        <v>DogTrack_Oficial</v>
      </c>
      <c r="L1831" s="13">
        <v>11274</v>
      </c>
      <c r="M1831" s="13">
        <v>455</v>
      </c>
      <c r="N1831" s="13">
        <v>279</v>
      </c>
      <c r="O1831" s="15"/>
      <c r="P1831" s="6">
        <v>40473.74324074074</v>
      </c>
      <c r="Q1831" s="16" t="s">
        <v>4565</v>
      </c>
      <c r="R1831" s="17" t="s">
        <v>6334</v>
      </c>
      <c r="S1831" s="11" t="s">
        <v>6335</v>
      </c>
      <c r="T1831" s="12"/>
      <c r="U1831" s="10" t="str">
        <f>HYPERLINK("https://pbs.twimg.com/profile_images/931158071816216576/wvKlm4qp.jpg","View")</f>
        <v>View</v>
      </c>
    </row>
    <row r="1832" spans="1:21" ht="20.399999999999999">
      <c r="A1832" s="6">
        <v>43440.903287037036</v>
      </c>
      <c r="B1832" s="7" t="str">
        <f>HYPERLINK("https://twitter.com/diariodejerez","@diariodejerez")</f>
        <v>@diariodejerez</v>
      </c>
      <c r="C1832" s="8" t="s">
        <v>6336</v>
      </c>
      <c r="D1832" s="9" t="s">
        <v>6308</v>
      </c>
      <c r="E1832" s="10" t="str">
        <f>HYPERLINK("https://twitter.com/diariodejerez/status/1070780098712875009","1070780098712875009")</f>
        <v>1070780098712875009</v>
      </c>
      <c r="F1832" s="11" t="s">
        <v>6309</v>
      </c>
      <c r="G1832" s="11" t="s">
        <v>6337</v>
      </c>
      <c r="H1832" s="12"/>
      <c r="I1832" s="13">
        <v>0</v>
      </c>
      <c r="J1832" s="13">
        <v>0</v>
      </c>
      <c r="K1832" s="14" t="str">
        <f t="shared" si="320"/>
        <v>DogTrack_Oficial</v>
      </c>
      <c r="L1832" s="13">
        <v>16317</v>
      </c>
      <c r="M1832" s="13">
        <v>10</v>
      </c>
      <c r="N1832" s="13">
        <v>278</v>
      </c>
      <c r="O1832" s="15"/>
      <c r="P1832" s="6">
        <v>40582.431689814817</v>
      </c>
      <c r="Q1832" s="16" t="s">
        <v>6338</v>
      </c>
      <c r="R1832" s="17" t="s">
        <v>6339</v>
      </c>
      <c r="S1832" s="11" t="s">
        <v>6340</v>
      </c>
      <c r="T1832" s="12"/>
      <c r="U1832" s="10" t="str">
        <f>HYPERLINK("https://pbs.twimg.com/profile_images/931157158053412864/5WRXsKKP.jpg","View")</f>
        <v>View</v>
      </c>
    </row>
    <row r="1833" spans="1:21" ht="20.399999999999999">
      <c r="A1833" s="6">
        <v>43440.903287037036</v>
      </c>
      <c r="B1833" s="7" t="str">
        <f>HYPERLINK("https://twitter.com/eldiacordoba","@eldiacordoba")</f>
        <v>@eldiacordoba</v>
      </c>
      <c r="C1833" s="8" t="s">
        <v>6341</v>
      </c>
      <c r="D1833" s="9" t="s">
        <v>6308</v>
      </c>
      <c r="E1833" s="10" t="str">
        <f>HYPERLINK("https://twitter.com/eldiacordoba/status/1070780098603872256","1070780098603872256")</f>
        <v>1070780098603872256</v>
      </c>
      <c r="F1833" s="11" t="s">
        <v>6309</v>
      </c>
      <c r="G1833" s="11" t="s">
        <v>6344</v>
      </c>
      <c r="H1833" s="12"/>
      <c r="I1833" s="13">
        <v>0</v>
      </c>
      <c r="J1833" s="13">
        <v>0</v>
      </c>
      <c r="K1833" s="14" t="str">
        <f t="shared" si="320"/>
        <v>DogTrack_Oficial</v>
      </c>
      <c r="L1833" s="13">
        <v>60882</v>
      </c>
      <c r="M1833" s="13">
        <v>2274</v>
      </c>
      <c r="N1833" s="13">
        <v>606</v>
      </c>
      <c r="O1833" s="15"/>
      <c r="P1833" s="6">
        <v>40471.769317129627</v>
      </c>
      <c r="Q1833" s="16" t="s">
        <v>6345</v>
      </c>
      <c r="R1833" s="17" t="s">
        <v>6346</v>
      </c>
      <c r="S1833" s="11" t="s">
        <v>6347</v>
      </c>
      <c r="T1833" s="12"/>
      <c r="U1833" s="10" t="str">
        <f>HYPERLINK("https://pbs.twimg.com/profile_images/931155279668023297/C19G1boO.jpg","View")</f>
        <v>View</v>
      </c>
    </row>
    <row r="1834" spans="1:21" ht="40.799999999999997">
      <c r="A1834" s="6">
        <v>43440.900995370372</v>
      </c>
      <c r="B1834" s="7" t="str">
        <f>HYPERLINK("https://twitter.com/theo_kas","@theo_kas")</f>
        <v>@theo_kas</v>
      </c>
      <c r="C1834" s="8" t="s">
        <v>6348</v>
      </c>
      <c r="D1834" s="9" t="s">
        <v>6349</v>
      </c>
      <c r="E1834" s="10" t="str">
        <f>HYPERLINK("https://twitter.com/theo_kas/status/1070779269834514433","1070779269834514433")</f>
        <v>1070779269834514433</v>
      </c>
      <c r="F1834" s="11" t="s">
        <v>246</v>
      </c>
      <c r="G1834" s="12"/>
      <c r="H1834" s="12"/>
      <c r="I1834" s="13">
        <v>1</v>
      </c>
      <c r="J1834" s="13">
        <v>1</v>
      </c>
      <c r="K1834" s="14" t="str">
        <f t="shared" ref="K1834:K1835" si="321">HYPERLINK("http://twitter.com","Twitter Web Client")</f>
        <v>Twitter Web Client</v>
      </c>
      <c r="L1834" s="13">
        <v>826</v>
      </c>
      <c r="M1834" s="13">
        <v>913</v>
      </c>
      <c r="N1834" s="13">
        <v>0</v>
      </c>
      <c r="O1834" s="15"/>
      <c r="P1834" s="6">
        <v>42508.712847222225</v>
      </c>
      <c r="Q1834" s="12"/>
      <c r="R1834" s="17" t="s">
        <v>6350</v>
      </c>
      <c r="S1834" s="12"/>
      <c r="T1834" s="12"/>
      <c r="U1834" s="10" t="str">
        <f>HYPERLINK("https://pbs.twimg.com/profile_images/915936750085828609/CpLRl74A.jpg","View")</f>
        <v>View</v>
      </c>
    </row>
    <row r="1835" spans="1:21" ht="40.799999999999997">
      <c r="A1835" s="6">
        <v>43440.900300925925</v>
      </c>
      <c r="B1835" s="7" t="str">
        <f>HYPERLINK("https://twitter.com/Israelem","@Israelem")</f>
        <v>@Israelem</v>
      </c>
      <c r="C1835" s="8" t="s">
        <v>3844</v>
      </c>
      <c r="D1835" s="9" t="s">
        <v>5586</v>
      </c>
      <c r="E1835" s="10" t="str">
        <f>HYPERLINK("https://twitter.com/Israelem/status/1070779019308740610","1070779019308740610")</f>
        <v>1070779019308740610</v>
      </c>
      <c r="F1835" s="11" t="s">
        <v>4815</v>
      </c>
      <c r="G1835" s="12"/>
      <c r="H1835" s="12"/>
      <c r="I1835" s="13">
        <v>0</v>
      </c>
      <c r="J1835" s="13">
        <v>0</v>
      </c>
      <c r="K1835" s="14" t="str">
        <f t="shared" si="321"/>
        <v>Twitter Web Client</v>
      </c>
      <c r="L1835" s="13">
        <v>2975</v>
      </c>
      <c r="M1835" s="13">
        <v>957</v>
      </c>
      <c r="N1835" s="13">
        <v>156</v>
      </c>
      <c r="O1835" s="15"/>
      <c r="P1835" s="6">
        <v>40112.483078703706</v>
      </c>
      <c r="Q1835" s="16" t="s">
        <v>427</v>
      </c>
      <c r="R1835" s="17" t="s">
        <v>3846</v>
      </c>
      <c r="S1835" s="11" t="s">
        <v>3847</v>
      </c>
      <c r="T1835" s="12"/>
      <c r="U1835" s="10" t="str">
        <f>HYPERLINK("https://pbs.twimg.com/profile_images/1059578996030169089/EOcGvxsT.jpg","View")</f>
        <v>View</v>
      </c>
    </row>
    <row r="1836" spans="1:21" ht="30.6">
      <c r="A1836" s="6">
        <v>43440.900185185186</v>
      </c>
      <c r="B1836" s="7" t="str">
        <f>HYPERLINK("https://twitter.com/AdellPaco","@AdellPaco")</f>
        <v>@AdellPaco</v>
      </c>
      <c r="C1836" s="8" t="s">
        <v>6351</v>
      </c>
      <c r="D1836" s="9" t="s">
        <v>6352</v>
      </c>
      <c r="E1836" s="10" t="str">
        <f>HYPERLINK("https://twitter.com/AdellPaco/status/1070778976094830594","1070778976094830594")</f>
        <v>1070778976094830594</v>
      </c>
      <c r="F1836" s="11" t="s">
        <v>2214</v>
      </c>
      <c r="G1836" s="12"/>
      <c r="H1836" s="12"/>
      <c r="I1836" s="13">
        <v>0</v>
      </c>
      <c r="J1836" s="13">
        <v>0</v>
      </c>
      <c r="K1836" s="14" t="str">
        <f>HYPERLINK("http://twitter.com/download/android","Twitter for Android")</f>
        <v>Twitter for Android</v>
      </c>
      <c r="L1836" s="13">
        <v>311</v>
      </c>
      <c r="M1836" s="13">
        <v>486</v>
      </c>
      <c r="N1836" s="13">
        <v>12</v>
      </c>
      <c r="O1836" s="15"/>
      <c r="P1836" s="6">
        <v>41558.024548611109</v>
      </c>
      <c r="Q1836" s="16" t="s">
        <v>6353</v>
      </c>
      <c r="R1836" s="17" t="s">
        <v>6354</v>
      </c>
      <c r="S1836" s="11" t="s">
        <v>6355</v>
      </c>
      <c r="T1836" s="12"/>
      <c r="U1836" s="10" t="str">
        <f>HYPERLINK("https://pbs.twimg.com/profile_images/852207684506066945/KHf2-FDw.jpg","View")</f>
        <v>View</v>
      </c>
    </row>
    <row r="1837" spans="1:21" ht="40.799999999999997">
      <c r="A1837" s="6">
        <v>43440.899814814809</v>
      </c>
      <c r="B1837" s="7" t="str">
        <f>HYPERLINK("https://twitter.com/Israelem","@Israelem")</f>
        <v>@Israelem</v>
      </c>
      <c r="C1837" s="8" t="s">
        <v>3844</v>
      </c>
      <c r="D1837" s="9" t="s">
        <v>4627</v>
      </c>
      <c r="E1837" s="10" t="str">
        <f>HYPERLINK("https://twitter.com/Israelem/status/1070778842258788352","1070778842258788352")</f>
        <v>1070778842258788352</v>
      </c>
      <c r="F1837" s="11" t="s">
        <v>4628</v>
      </c>
      <c r="G1837" s="12"/>
      <c r="H1837" s="12"/>
      <c r="I1837" s="13">
        <v>0</v>
      </c>
      <c r="J1837" s="13">
        <v>0</v>
      </c>
      <c r="K1837" s="14" t="str">
        <f t="shared" ref="K1837:K1838" si="322">HYPERLINK("http://twitter.com","Twitter Web Client")</f>
        <v>Twitter Web Client</v>
      </c>
      <c r="L1837" s="13">
        <v>2975</v>
      </c>
      <c r="M1837" s="13">
        <v>957</v>
      </c>
      <c r="N1837" s="13">
        <v>156</v>
      </c>
      <c r="O1837" s="15"/>
      <c r="P1837" s="6">
        <v>40112.483078703706</v>
      </c>
      <c r="Q1837" s="16" t="s">
        <v>427</v>
      </c>
      <c r="R1837" s="17" t="s">
        <v>3846</v>
      </c>
      <c r="S1837" s="11" t="s">
        <v>3847</v>
      </c>
      <c r="T1837" s="12"/>
      <c r="U1837" s="10" t="str">
        <f>HYPERLINK("https://pbs.twimg.com/profile_images/1059578996030169089/EOcGvxsT.jpg","View")</f>
        <v>View</v>
      </c>
    </row>
    <row r="1838" spans="1:21" ht="30.6">
      <c r="A1838" s="6">
        <v>43440.899409722224</v>
      </c>
      <c r="B1838" s="7" t="str">
        <f>HYPERLINK("https://twitter.com/eseprograma_tve","@eseprograma_tve")</f>
        <v>@eseprograma_tve</v>
      </c>
      <c r="C1838" s="8" t="s">
        <v>6361</v>
      </c>
      <c r="D1838" s="9" t="s">
        <v>6362</v>
      </c>
      <c r="E1838" s="10" t="str">
        <f>HYPERLINK("https://twitter.com/eseprograma_tve/status/1070778692509593600","1070778692509593600")</f>
        <v>1070778692509593600</v>
      </c>
      <c r="F1838" s="12"/>
      <c r="G1838" s="11" t="s">
        <v>6363</v>
      </c>
      <c r="H1838" s="12"/>
      <c r="I1838" s="13">
        <v>1</v>
      </c>
      <c r="J1838" s="13">
        <v>9</v>
      </c>
      <c r="K1838" s="14" t="str">
        <f t="shared" si="322"/>
        <v>Twitter Web Client</v>
      </c>
      <c r="L1838" s="13">
        <v>2225</v>
      </c>
      <c r="M1838" s="13">
        <v>61</v>
      </c>
      <c r="N1838" s="13">
        <v>11</v>
      </c>
      <c r="O1838" s="15"/>
      <c r="P1838" s="6">
        <v>43423.855439814812</v>
      </c>
      <c r="Q1838" s="12"/>
      <c r="R1838" s="17" t="s">
        <v>6364</v>
      </c>
      <c r="S1838" s="12"/>
      <c r="T1838" s="12"/>
      <c r="U1838" s="10" t="str">
        <f>HYPERLINK("https://pbs.twimg.com/profile_images/1064621500316160001/6VZl_pZO.jpg","View")</f>
        <v>View</v>
      </c>
    </row>
    <row r="1839" spans="1:21" ht="30.6">
      <c r="A1839" s="6">
        <v>43440.897534722222</v>
      </c>
      <c r="B1839" s="7" t="str">
        <f>HYPERLINK("https://twitter.com/TerceraRepublca","@TerceraRepublca")</f>
        <v>@TerceraRepublca</v>
      </c>
      <c r="C1839" s="8" t="s">
        <v>6365</v>
      </c>
      <c r="D1839" s="9" t="s">
        <v>6366</v>
      </c>
      <c r="E1839" s="10" t="str">
        <f>HYPERLINK("https://twitter.com/TerceraRepublca/status/1070778016006053888","1070778016006053888")</f>
        <v>1070778016006053888</v>
      </c>
      <c r="F1839" s="12"/>
      <c r="G1839" s="12"/>
      <c r="H1839" s="12"/>
      <c r="I1839" s="13">
        <v>0</v>
      </c>
      <c r="J1839" s="13">
        <v>0</v>
      </c>
      <c r="K1839" s="14" t="str">
        <f>HYPERLINK("http://twitter.com/download/iphone","Twitter for iPhone")</f>
        <v>Twitter for iPhone</v>
      </c>
      <c r="L1839" s="13">
        <v>289</v>
      </c>
      <c r="M1839" s="13">
        <v>1190</v>
      </c>
      <c r="N1839" s="13">
        <v>1</v>
      </c>
      <c r="O1839" s="15"/>
      <c r="P1839" s="6">
        <v>42650.032442129625</v>
      </c>
      <c r="Q1839" s="16" t="s">
        <v>60</v>
      </c>
      <c r="R1839" s="17" t="s">
        <v>6367</v>
      </c>
      <c r="S1839" s="12"/>
      <c r="T1839" s="12"/>
      <c r="U1839" s="10" t="str">
        <f>HYPERLINK("https://pbs.twimg.com/profile_images/793380166278012929/Xk6xuh3y.jpg","View")</f>
        <v>View</v>
      </c>
    </row>
    <row r="1840" spans="1:21" ht="20.399999999999999">
      <c r="A1840" s="6">
        <v>43440.897037037037</v>
      </c>
      <c r="B1840" s="7" t="str">
        <f>HYPERLINK("https://twitter.com/AgustiPeiro","@AgustiPeiro")</f>
        <v>@AgustiPeiro</v>
      </c>
      <c r="C1840" s="8" t="s">
        <v>1438</v>
      </c>
      <c r="D1840" s="9" t="s">
        <v>6368</v>
      </c>
      <c r="E1840" s="10" t="str">
        <f>HYPERLINK("https://twitter.com/AgustiPeiro/status/1070777833801302016","1070777833801302016")</f>
        <v>1070777833801302016</v>
      </c>
      <c r="F1840" s="12"/>
      <c r="G1840" s="12"/>
      <c r="H1840" s="12"/>
      <c r="I1840" s="13">
        <v>0</v>
      </c>
      <c r="J1840" s="13">
        <v>0</v>
      </c>
      <c r="K1840" s="14" t="str">
        <f>HYPERLINK("http://twitter.com","Twitter Web Client")</f>
        <v>Twitter Web Client</v>
      </c>
      <c r="L1840" s="13">
        <v>505</v>
      </c>
      <c r="M1840" s="13">
        <v>843</v>
      </c>
      <c r="N1840" s="13">
        <v>6</v>
      </c>
      <c r="O1840" s="15"/>
      <c r="P1840" s="6">
        <v>41791.515787037039</v>
      </c>
      <c r="Q1840" s="16" t="s">
        <v>1441</v>
      </c>
      <c r="R1840" s="17" t="s">
        <v>1442</v>
      </c>
      <c r="S1840" s="12"/>
      <c r="T1840" s="12"/>
      <c r="U1840" s="10" t="str">
        <f>HYPERLINK("https://pbs.twimg.com/profile_images/998862677198848000/IHx8rZ6c.jpg","View")</f>
        <v>View</v>
      </c>
    </row>
    <row r="1841" spans="1:21" ht="30.6">
      <c r="A1841" s="6">
        <v>43440.895254629635</v>
      </c>
      <c r="B1841" s="7" t="str">
        <f>HYPERLINK("https://twitter.com/david_dpedro","@david_dpedro")</f>
        <v>@david_dpedro</v>
      </c>
      <c r="C1841" s="8" t="s">
        <v>6369</v>
      </c>
      <c r="D1841" s="9" t="s">
        <v>6370</v>
      </c>
      <c r="E1841" s="10" t="str">
        <f>HYPERLINK("https://twitter.com/david_dpedro/status/1070777189199691776","1070777189199691776")</f>
        <v>1070777189199691776</v>
      </c>
      <c r="F1841" s="11" t="s">
        <v>6371</v>
      </c>
      <c r="G1841" s="11" t="s">
        <v>6372</v>
      </c>
      <c r="H1841" s="12"/>
      <c r="I1841" s="13">
        <v>1</v>
      </c>
      <c r="J1841" s="13">
        <v>2</v>
      </c>
      <c r="K1841" s="14" t="str">
        <f>HYPERLINK("http://twitter.com/download/android","Twitter for Android")</f>
        <v>Twitter for Android</v>
      </c>
      <c r="L1841" s="13">
        <v>1750</v>
      </c>
      <c r="M1841" s="13">
        <v>4906</v>
      </c>
      <c r="N1841" s="13">
        <v>1</v>
      </c>
      <c r="O1841" s="15"/>
      <c r="P1841" s="6">
        <v>40804.441678240742</v>
      </c>
      <c r="Q1841" s="16" t="s">
        <v>6373</v>
      </c>
      <c r="R1841" s="17" t="s">
        <v>6374</v>
      </c>
      <c r="S1841" s="11" t="s">
        <v>6375</v>
      </c>
      <c r="T1841" s="12"/>
      <c r="U1841" s="10" t="str">
        <f>HYPERLINK("https://pbs.twimg.com/profile_images/951181536254152707/Yr9o8l5x.jpg","View")</f>
        <v>View</v>
      </c>
    </row>
    <row r="1842" spans="1:21" ht="51">
      <c r="A1842" s="6">
        <v>43440.894675925927</v>
      </c>
      <c r="B1842" s="7" t="str">
        <f>HYPERLINK("https://twitter.com/mariabe04275803","@mariabe04275803")</f>
        <v>@mariabe04275803</v>
      </c>
      <c r="C1842" s="8" t="s">
        <v>6376</v>
      </c>
      <c r="D1842" s="9" t="s">
        <v>6377</v>
      </c>
      <c r="E1842" s="10" t="str">
        <f>HYPERLINK("https://twitter.com/mariabe04275803/status/1070776979895529472","1070776979895529472")</f>
        <v>1070776979895529472</v>
      </c>
      <c r="F1842" s="12"/>
      <c r="G1842" s="12"/>
      <c r="H1842" s="12"/>
      <c r="I1842" s="13">
        <v>0</v>
      </c>
      <c r="J1842" s="13">
        <v>0</v>
      </c>
      <c r="K1842" s="14" t="str">
        <f>HYPERLINK("http://twitter.com/download/iphone","Twitter for iPhone")</f>
        <v>Twitter for iPhone</v>
      </c>
      <c r="L1842" s="13">
        <v>0</v>
      </c>
      <c r="M1842" s="13">
        <v>0</v>
      </c>
      <c r="N1842" s="13">
        <v>0</v>
      </c>
      <c r="O1842" s="15"/>
      <c r="P1842" s="6">
        <v>43440.890127314815</v>
      </c>
      <c r="Q1842" s="16" t="s">
        <v>6378</v>
      </c>
      <c r="R1842" s="19"/>
      <c r="S1842" s="12"/>
      <c r="T1842" s="12"/>
      <c r="U1842" s="18" t="s">
        <v>67</v>
      </c>
    </row>
    <row r="1843" spans="1:21" ht="40.799999999999997">
      <c r="A1843" s="6">
        <v>43440.894583333335</v>
      </c>
      <c r="B1843" s="7" t="str">
        <f>HYPERLINK("https://twitter.com/tio_chabo","@tio_chabo")</f>
        <v>@tio_chabo</v>
      </c>
      <c r="C1843" s="8" t="s">
        <v>5047</v>
      </c>
      <c r="D1843" s="9" t="s">
        <v>2521</v>
      </c>
      <c r="E1843" s="10" t="str">
        <f>HYPERLINK("https://twitter.com/tio_chabo/status/1070776944625623040","1070776944625623040")</f>
        <v>1070776944625623040</v>
      </c>
      <c r="F1843" s="11" t="s">
        <v>5269</v>
      </c>
      <c r="G1843" s="12"/>
      <c r="H1843" s="12"/>
      <c r="I1843" s="13">
        <v>0</v>
      </c>
      <c r="J1843" s="13">
        <v>0</v>
      </c>
      <c r="K1843" s="14" t="str">
        <f>HYPERLINK("https://ifttt.com","IFTTT")</f>
        <v>IFTTT</v>
      </c>
      <c r="L1843" s="13">
        <v>3112</v>
      </c>
      <c r="M1843" s="13">
        <v>3722</v>
      </c>
      <c r="N1843" s="13">
        <v>68</v>
      </c>
      <c r="O1843" s="15"/>
      <c r="P1843" s="6">
        <v>40964.769629629627</v>
      </c>
      <c r="Q1843" s="16" t="s">
        <v>5050</v>
      </c>
      <c r="R1843" s="17" t="s">
        <v>5051</v>
      </c>
      <c r="S1843" s="11" t="s">
        <v>5052</v>
      </c>
      <c r="T1843" s="12"/>
      <c r="U1843" s="10" t="str">
        <f>HYPERLINK("https://pbs.twimg.com/profile_images/837040061870833666/XUkKbbB4.jpg","View")</f>
        <v>View</v>
      </c>
    </row>
    <row r="1844" spans="1:21" ht="20.399999999999999">
      <c r="A1844" s="6">
        <v>43440.893935185188</v>
      </c>
      <c r="B1844" s="7" t="str">
        <f>HYPERLINK("https://twitter.com/EP_Mundo","@EP_Mundo")</f>
        <v>@EP_Mundo</v>
      </c>
      <c r="C1844" s="8" t="s">
        <v>735</v>
      </c>
      <c r="D1844" s="9" t="s">
        <v>2756</v>
      </c>
      <c r="E1844" s="10" t="str">
        <f>HYPERLINK("https://twitter.com/EP_Mundo/status/1070776709409058816","1070776709409058816")</f>
        <v>1070776709409058816</v>
      </c>
      <c r="F1844" s="11" t="s">
        <v>2757</v>
      </c>
      <c r="G1844" s="11" t="s">
        <v>6379</v>
      </c>
      <c r="H1844" s="12"/>
      <c r="I1844" s="13">
        <v>0</v>
      </c>
      <c r="J1844" s="13">
        <v>0</v>
      </c>
      <c r="K1844" s="14" t="str">
        <f>HYPERLINK("http://epmundo.com","Tuiteo TOP EP (2)")</f>
        <v>Tuiteo TOP EP (2)</v>
      </c>
      <c r="L1844" s="13">
        <v>510220</v>
      </c>
      <c r="M1844" s="13">
        <v>301867</v>
      </c>
      <c r="N1844" s="13">
        <v>1363</v>
      </c>
      <c r="O1844" s="15"/>
      <c r="P1844" s="6">
        <v>40203.223078703704</v>
      </c>
      <c r="Q1844" s="12"/>
      <c r="R1844" s="17" t="s">
        <v>739</v>
      </c>
      <c r="S1844" s="11" t="s">
        <v>740</v>
      </c>
      <c r="T1844" s="12"/>
      <c r="U1844" s="10" t="str">
        <f>HYPERLINK("https://pbs.twimg.com/profile_images/958329583778099200/87-xiuzB.jpg","View")</f>
        <v>View</v>
      </c>
    </row>
    <row r="1845" spans="1:21" ht="40.799999999999997">
      <c r="A1845" s="6">
        <v>43440.893541666665</v>
      </c>
      <c r="B1845" s="7" t="str">
        <f>HYPERLINK("https://twitter.com/nefeerr","@nefeerr")</f>
        <v>@nefeerr</v>
      </c>
      <c r="C1845" s="8" t="s">
        <v>283</v>
      </c>
      <c r="D1845" s="9" t="s">
        <v>4198</v>
      </c>
      <c r="E1845" s="10" t="str">
        <f>HYPERLINK("https://twitter.com/nefeerr/status/1070776568438538240","1070776568438538240")</f>
        <v>1070776568438538240</v>
      </c>
      <c r="F1845" s="11" t="s">
        <v>1185</v>
      </c>
      <c r="G1845" s="12"/>
      <c r="H1845" s="12"/>
      <c r="I1845" s="13">
        <v>6</v>
      </c>
      <c r="J1845" s="13">
        <v>5</v>
      </c>
      <c r="K1845" s="14" t="str">
        <f t="shared" ref="K1845:K1849" si="323">HYPERLINK("http://twitter.com","Twitter Web Client")</f>
        <v>Twitter Web Client</v>
      </c>
      <c r="L1845" s="13">
        <v>73247</v>
      </c>
      <c r="M1845" s="13">
        <v>78939</v>
      </c>
      <c r="N1845" s="13">
        <v>375</v>
      </c>
      <c r="O1845" s="15"/>
      <c r="P1845" s="6">
        <v>40682.676620370374</v>
      </c>
      <c r="Q1845" s="16" t="s">
        <v>2863</v>
      </c>
      <c r="R1845" s="17" t="s">
        <v>2864</v>
      </c>
      <c r="S1845" s="12"/>
      <c r="T1845" s="12"/>
      <c r="U1845" s="10" t="str">
        <f>HYPERLINK("https://pbs.twimg.com/profile_images/817294191055306752/CVQj58Pp.jpg","View")</f>
        <v>View</v>
      </c>
    </row>
    <row r="1846" spans="1:21" ht="20.399999999999999">
      <c r="A1846" s="6">
        <v>43440.893368055556</v>
      </c>
      <c r="B1846" s="7" t="str">
        <f>HYPERLINK("https://twitter.com/mariabarbossa","@mariabarbossa")</f>
        <v>@mariabarbossa</v>
      </c>
      <c r="C1846" s="8" t="s">
        <v>6380</v>
      </c>
      <c r="D1846" s="9" t="s">
        <v>6381</v>
      </c>
      <c r="E1846" s="10" t="str">
        <f>HYPERLINK("https://twitter.com/mariabarbossa/status/1070776506358620160","1070776506358620160")</f>
        <v>1070776506358620160</v>
      </c>
      <c r="F1846" s="11" t="s">
        <v>6382</v>
      </c>
      <c r="G1846" s="12"/>
      <c r="H1846" s="12"/>
      <c r="I1846" s="13">
        <v>0</v>
      </c>
      <c r="J1846" s="13">
        <v>0</v>
      </c>
      <c r="K1846" s="14" t="str">
        <f t="shared" si="323"/>
        <v>Twitter Web Client</v>
      </c>
      <c r="L1846" s="13">
        <v>40</v>
      </c>
      <c r="M1846" s="13">
        <v>250</v>
      </c>
      <c r="N1846" s="13">
        <v>0</v>
      </c>
      <c r="O1846" s="15"/>
      <c r="P1846" s="6">
        <v>43238.646319444444</v>
      </c>
      <c r="Q1846" s="16" t="s">
        <v>6383</v>
      </c>
      <c r="R1846" s="17" t="s">
        <v>6384</v>
      </c>
      <c r="S1846" s="11" t="s">
        <v>6385</v>
      </c>
      <c r="T1846" s="12"/>
      <c r="U1846" s="10" t="str">
        <f>HYPERLINK("https://pbs.twimg.com/profile_images/997737415958712322/OO8Iu2lE.jpg","View")</f>
        <v>View</v>
      </c>
    </row>
    <row r="1847" spans="1:21" ht="30.6">
      <c r="A1847" s="6">
        <v>43440.893333333333</v>
      </c>
      <c r="B1847" s="7" t="str">
        <f>HYPERLINK("https://twitter.com/red2gr","@red2gr")</f>
        <v>@red2gr</v>
      </c>
      <c r="C1847" s="8" t="s">
        <v>6386</v>
      </c>
      <c r="D1847" s="9" t="s">
        <v>6387</v>
      </c>
      <c r="E1847" s="10" t="str">
        <f>HYPERLINK("https://twitter.com/red2gr/status/1070776494132264961","1070776494132264961")</f>
        <v>1070776494132264961</v>
      </c>
      <c r="F1847" s="12"/>
      <c r="G1847" s="12"/>
      <c r="H1847" s="12"/>
      <c r="I1847" s="13">
        <v>0</v>
      </c>
      <c r="J1847" s="13">
        <v>2</v>
      </c>
      <c r="K1847" s="14" t="str">
        <f t="shared" si="323"/>
        <v>Twitter Web Client</v>
      </c>
      <c r="L1847" s="13">
        <v>0</v>
      </c>
      <c r="M1847" s="13">
        <v>0</v>
      </c>
      <c r="N1847" s="13">
        <v>0</v>
      </c>
      <c r="O1847" s="15"/>
      <c r="P1847" s="6">
        <v>43306.899675925924</v>
      </c>
      <c r="Q1847" s="16" t="s">
        <v>6388</v>
      </c>
      <c r="R1847" s="17" t="s">
        <v>6389</v>
      </c>
      <c r="S1847" s="12"/>
      <c r="T1847" s="12"/>
      <c r="U1847" s="10" t="str">
        <f>HYPERLINK("https://pbs.twimg.com/profile_images/1061741268030668802/shAyetVY.jpg","View")</f>
        <v>View</v>
      </c>
    </row>
    <row r="1848" spans="1:21" ht="30.6">
      <c r="A1848" s="6">
        <v>43440.892905092594</v>
      </c>
      <c r="B1848" s="7" t="str">
        <f>HYPERLINK("https://twitter.com/HonestHumanity","@HonestHumanity")</f>
        <v>@HonestHumanity</v>
      </c>
      <c r="C1848" s="8" t="s">
        <v>849</v>
      </c>
      <c r="D1848" s="9" t="s">
        <v>6390</v>
      </c>
      <c r="E1848" s="10" t="str">
        <f>HYPERLINK("https://twitter.com/HonestHumanity/status/1070776338850701312","1070776338850701312")</f>
        <v>1070776338850701312</v>
      </c>
      <c r="F1848" s="11" t="s">
        <v>6391</v>
      </c>
      <c r="G1848" s="12"/>
      <c r="H1848" s="12"/>
      <c r="I1848" s="13">
        <v>0</v>
      </c>
      <c r="J1848" s="13">
        <v>0</v>
      </c>
      <c r="K1848" s="14" t="str">
        <f t="shared" si="323"/>
        <v>Twitter Web Client</v>
      </c>
      <c r="L1848" s="13">
        <v>2445</v>
      </c>
      <c r="M1848" s="13">
        <v>2782</v>
      </c>
      <c r="N1848" s="13">
        <v>157</v>
      </c>
      <c r="O1848" s="15"/>
      <c r="P1848" s="6">
        <v>41604.924803240741</v>
      </c>
      <c r="Q1848" s="16" t="s">
        <v>852</v>
      </c>
      <c r="R1848" s="17" t="s">
        <v>853</v>
      </c>
      <c r="S1848" s="12"/>
      <c r="T1848" s="12"/>
      <c r="U1848" s="10" t="str">
        <f>HYPERLINK("https://pbs.twimg.com/profile_images/1004050338977107973/eHu950Tj.jpg","View")</f>
        <v>View</v>
      </c>
    </row>
    <row r="1849" spans="1:21" ht="20.399999999999999">
      <c r="A1849" s="6">
        <v>43440.892858796295</v>
      </c>
      <c r="B1849" s="7" t="str">
        <f>HYPERLINK("https://twitter.com/czapico","@czapico")</f>
        <v>@czapico</v>
      </c>
      <c r="C1849" s="8" t="s">
        <v>6392</v>
      </c>
      <c r="D1849" s="9" t="s">
        <v>5023</v>
      </c>
      <c r="E1849" s="10" t="str">
        <f>HYPERLINK("https://twitter.com/czapico/status/1070776322350292992","1070776322350292992")</f>
        <v>1070776322350292992</v>
      </c>
      <c r="F1849" s="11" t="s">
        <v>6393</v>
      </c>
      <c r="G1849" s="12"/>
      <c r="H1849" s="12"/>
      <c r="I1849" s="13">
        <v>0</v>
      </c>
      <c r="J1849" s="13">
        <v>0</v>
      </c>
      <c r="K1849" s="14" t="str">
        <f t="shared" si="323"/>
        <v>Twitter Web Client</v>
      </c>
      <c r="L1849" s="13">
        <v>519</v>
      </c>
      <c r="M1849" s="13">
        <v>2208</v>
      </c>
      <c r="N1849" s="13">
        <v>5</v>
      </c>
      <c r="O1849" s="15"/>
      <c r="P1849" s="6">
        <v>40052.639131944445</v>
      </c>
      <c r="Q1849" s="16" t="s">
        <v>276</v>
      </c>
      <c r="R1849" s="17" t="s">
        <v>6394</v>
      </c>
      <c r="S1849" s="12"/>
      <c r="T1849" s="12"/>
      <c r="U1849" s="10" t="str">
        <f>HYPERLINK("https://pbs.twimg.com/profile_images/478924547706462208/UYOMXmWi.jpeg","View")</f>
        <v>View</v>
      </c>
    </row>
    <row r="1850" spans="1:21" ht="20.399999999999999">
      <c r="A1850" s="6">
        <v>43440.891516203701</v>
      </c>
      <c r="B1850" s="7" t="str">
        <f>HYPERLINK("https://twitter.com/cendreivan","@cendreivan")</f>
        <v>@cendreivan</v>
      </c>
      <c r="C1850" s="8" t="s">
        <v>6395</v>
      </c>
      <c r="D1850" s="9" t="s">
        <v>3897</v>
      </c>
      <c r="E1850" s="10" t="str">
        <f>HYPERLINK("https://twitter.com/cendreivan/status/1070775834775117824","1070775834775117824")</f>
        <v>1070775834775117824</v>
      </c>
      <c r="F1850" s="11" t="s">
        <v>6396</v>
      </c>
      <c r="G1850" s="12"/>
      <c r="H1850" s="12"/>
      <c r="I1850" s="13">
        <v>0</v>
      </c>
      <c r="J1850" s="13">
        <v>1</v>
      </c>
      <c r="K1850" s="14" t="str">
        <f>HYPERLINK("http://twitter.com/download/iphone","Twitter for iPhone")</f>
        <v>Twitter for iPhone</v>
      </c>
      <c r="L1850" s="13">
        <v>43</v>
      </c>
      <c r="M1850" s="13">
        <v>129</v>
      </c>
      <c r="N1850" s="13">
        <v>0</v>
      </c>
      <c r="O1850" s="15"/>
      <c r="P1850" s="6">
        <v>43372.472673611112</v>
      </c>
      <c r="Q1850" s="16" t="s">
        <v>26</v>
      </c>
      <c r="R1850" s="17" t="s">
        <v>6397</v>
      </c>
      <c r="S1850" s="11" t="s">
        <v>6398</v>
      </c>
      <c r="T1850" s="12"/>
      <c r="U1850" s="10" t="str">
        <f>HYPERLINK("https://pbs.twimg.com/profile_images/1059729984712048641/CGQNXp9y.jpg","View")</f>
        <v>View</v>
      </c>
    </row>
    <row r="1851" spans="1:21" ht="40.799999999999997">
      <c r="A1851" s="6">
        <v>43440.891273148147</v>
      </c>
      <c r="B1851" s="7" t="str">
        <f>HYPERLINK("https://twitter.com/Nuevo_Curso","@Nuevo_Curso")</f>
        <v>@Nuevo_Curso</v>
      </c>
      <c r="C1851" s="8" t="s">
        <v>6030</v>
      </c>
      <c r="D1851" s="9" t="s">
        <v>6399</v>
      </c>
      <c r="E1851" s="10" t="str">
        <f>HYPERLINK("https://twitter.com/Nuevo_Curso/status/1070775746120032256","1070775746120032256")</f>
        <v>1070775746120032256</v>
      </c>
      <c r="F1851" s="11" t="s">
        <v>6400</v>
      </c>
      <c r="G1851" s="12"/>
      <c r="H1851" s="12"/>
      <c r="I1851" s="13">
        <v>2</v>
      </c>
      <c r="J1851" s="13">
        <v>3</v>
      </c>
      <c r="K1851" s="14" t="str">
        <f>HYPERLINK("http://twitter.com","Twitter Web Client")</f>
        <v>Twitter Web Client</v>
      </c>
      <c r="L1851" s="13">
        <v>4960</v>
      </c>
      <c r="M1851" s="13">
        <v>2</v>
      </c>
      <c r="N1851" s="13">
        <v>13</v>
      </c>
      <c r="O1851" s="15"/>
      <c r="P1851" s="6">
        <v>43004.446574074071</v>
      </c>
      <c r="Q1851" s="16" t="s">
        <v>6033</v>
      </c>
      <c r="R1851" s="17" t="s">
        <v>6034</v>
      </c>
      <c r="S1851" s="11" t="s">
        <v>6035</v>
      </c>
      <c r="T1851" s="12"/>
      <c r="U1851" s="10" t="str">
        <f>HYPERLINK("https://pbs.twimg.com/profile_images/956888218779160578/LHnGv_jn.jpg","View")</f>
        <v>View</v>
      </c>
    </row>
    <row r="1852" spans="1:21" ht="30.6">
      <c r="A1852" s="6">
        <v>43440.890914351854</v>
      </c>
      <c r="B1852" s="7" t="str">
        <f>HYPERLINK("https://twitter.com/JoseLui42419776","@JoseLui42419776")</f>
        <v>@JoseLui42419776</v>
      </c>
      <c r="C1852" s="8" t="s">
        <v>6401</v>
      </c>
      <c r="D1852" s="9" t="s">
        <v>6402</v>
      </c>
      <c r="E1852" s="10" t="str">
        <f>HYPERLINK("https://twitter.com/JoseLui42419776/status/1070775614473420801","1070775614473420801")</f>
        <v>1070775614473420801</v>
      </c>
      <c r="F1852" s="12"/>
      <c r="G1852" s="12"/>
      <c r="H1852" s="12"/>
      <c r="I1852" s="13">
        <v>0</v>
      </c>
      <c r="J1852" s="13">
        <v>0</v>
      </c>
      <c r="K1852" s="14" t="str">
        <f t="shared" ref="K1852:K1853" si="324">HYPERLINK("http://twitter.com/download/android","Twitter for Android")</f>
        <v>Twitter for Android</v>
      </c>
      <c r="L1852" s="13">
        <v>79</v>
      </c>
      <c r="M1852" s="13">
        <v>168</v>
      </c>
      <c r="N1852" s="13">
        <v>0</v>
      </c>
      <c r="O1852" s="15"/>
      <c r="P1852" s="6">
        <v>42723.648784722223</v>
      </c>
      <c r="Q1852" s="12"/>
      <c r="R1852" s="19"/>
      <c r="S1852" s="12"/>
      <c r="T1852" s="12"/>
      <c r="U1852" s="10" t="str">
        <f>HYPERLINK("https://pbs.twimg.com/profile_images/916307883398193153/R-ttoqkO.jpg","View")</f>
        <v>View</v>
      </c>
    </row>
    <row r="1853" spans="1:21" ht="40.799999999999997">
      <c r="A1853" s="6">
        <v>43440.890381944446</v>
      </c>
      <c r="B1853" s="7" t="str">
        <f>HYPERLINK("https://twitter.com/josecalvogomez","@josecalvogomez")</f>
        <v>@josecalvogomez</v>
      </c>
      <c r="C1853" s="8" t="s">
        <v>283</v>
      </c>
      <c r="D1853" s="9" t="s">
        <v>6403</v>
      </c>
      <c r="E1853" s="10" t="str">
        <f>HYPERLINK("https://twitter.com/josecalvogomez/status/1070775421451558923","1070775421451558923")</f>
        <v>1070775421451558923</v>
      </c>
      <c r="F1853" s="16" t="s">
        <v>6404</v>
      </c>
      <c r="G1853" s="12"/>
      <c r="H1853" s="12"/>
      <c r="I1853" s="13">
        <v>1</v>
      </c>
      <c r="J1853" s="13">
        <v>1</v>
      </c>
      <c r="K1853" s="14" t="str">
        <f t="shared" si="324"/>
        <v>Twitter for Android</v>
      </c>
      <c r="L1853" s="13">
        <v>4141</v>
      </c>
      <c r="M1853" s="13">
        <v>5002</v>
      </c>
      <c r="N1853" s="13">
        <v>25</v>
      </c>
      <c r="O1853" s="15"/>
      <c r="P1853" s="6">
        <v>41325.995289351849</v>
      </c>
      <c r="Q1853" s="12"/>
      <c r="R1853" s="19"/>
      <c r="S1853" s="12"/>
      <c r="T1853" s="12"/>
      <c r="U1853" s="10" t="str">
        <f>HYPERLINK("https://pbs.twimg.com/profile_images/641263832598454272/RFaw01FM.jpg","View")</f>
        <v>View</v>
      </c>
    </row>
    <row r="1854" spans="1:21" ht="51">
      <c r="A1854" s="6">
        <v>43440.889803240745</v>
      </c>
      <c r="B1854" s="7" t="str">
        <f>HYPERLINK("https://twitter.com/TerraConcertada","@TerraConcertada")</f>
        <v>@TerraConcertada</v>
      </c>
      <c r="C1854" s="8" t="s">
        <v>6405</v>
      </c>
      <c r="D1854" s="9" t="s">
        <v>6406</v>
      </c>
      <c r="E1854" s="10" t="str">
        <f>HYPERLINK("https://twitter.com/TerraConcertada/status/1070775214437556224","1070775214437556224")</f>
        <v>1070775214437556224</v>
      </c>
      <c r="F1854" s="12"/>
      <c r="G1854" s="11" t="s">
        <v>6407</v>
      </c>
      <c r="H1854" s="12"/>
      <c r="I1854" s="13">
        <v>5</v>
      </c>
      <c r="J1854" s="13">
        <v>2</v>
      </c>
      <c r="K1854" s="14" t="str">
        <f>HYPERLINK("http://twitter.com","Twitter Web Client")</f>
        <v>Twitter Web Client</v>
      </c>
      <c r="L1854" s="13">
        <v>3354</v>
      </c>
      <c r="M1854" s="13">
        <v>4569</v>
      </c>
      <c r="N1854" s="13">
        <v>47</v>
      </c>
      <c r="O1854" s="15"/>
      <c r="P1854" s="6">
        <v>41310.176736111112</v>
      </c>
      <c r="Q1854" s="16" t="s">
        <v>6408</v>
      </c>
      <c r="R1854" s="17" t="s">
        <v>6409</v>
      </c>
      <c r="S1854" s="12"/>
      <c r="T1854" s="12"/>
      <c r="U1854" s="10" t="str">
        <f>HYPERLINK("https://pbs.twimg.com/profile_images/1052933552613023744/3ktLZNnR.jpg","View")</f>
        <v>View</v>
      </c>
    </row>
    <row r="1855" spans="1:21" ht="30.6">
      <c r="A1855" s="6">
        <v>43440.889456018514</v>
      </c>
      <c r="B1855" s="7" t="str">
        <f>HYPERLINK("https://twitter.com/MariaJo55026514","@MariaJo55026514")</f>
        <v>@MariaJo55026514</v>
      </c>
      <c r="C1855" s="8" t="s">
        <v>6410</v>
      </c>
      <c r="D1855" s="9" t="s">
        <v>6411</v>
      </c>
      <c r="E1855" s="10" t="str">
        <f>HYPERLINK("https://twitter.com/MariaJo55026514/status/1070775089057226753","1070775089057226753")</f>
        <v>1070775089057226753</v>
      </c>
      <c r="F1855" s="12"/>
      <c r="G1855" s="12"/>
      <c r="H1855" s="12"/>
      <c r="I1855" s="13">
        <v>1</v>
      </c>
      <c r="J1855" s="13">
        <v>0</v>
      </c>
      <c r="K1855" s="14" t="str">
        <f>HYPERLINK("http://twitter.com/download/android","Twitter for Android")</f>
        <v>Twitter for Android</v>
      </c>
      <c r="L1855" s="13">
        <v>1885</v>
      </c>
      <c r="M1855" s="13">
        <v>4116</v>
      </c>
      <c r="N1855" s="13">
        <v>1</v>
      </c>
      <c r="O1855" s="15"/>
      <c r="P1855" s="6">
        <v>43069.66878472222</v>
      </c>
      <c r="Q1855" s="12"/>
      <c r="R1855" s="17" t="s">
        <v>6412</v>
      </c>
      <c r="S1855" s="12"/>
      <c r="T1855" s="12"/>
      <c r="U1855" s="10" t="str">
        <f>HYPERLINK("https://pbs.twimg.com/profile_images/936623103827955712/EWqnDRhH.jpg","View")</f>
        <v>View</v>
      </c>
    </row>
    <row r="1856" spans="1:21" ht="40.799999999999997">
      <c r="A1856" s="6">
        <v>43440.88899305556</v>
      </c>
      <c r="B1856" s="7" t="str">
        <f>HYPERLINK("https://twitter.com/TConbata","@TConbata")</f>
        <v>@TConbata</v>
      </c>
      <c r="C1856" s="8" t="s">
        <v>6413</v>
      </c>
      <c r="D1856" s="9" t="s">
        <v>6414</v>
      </c>
      <c r="E1856" s="10" t="str">
        <f>HYPERLINK("https://twitter.com/TConbata/status/1070774919007494145","1070774919007494145")</f>
        <v>1070774919007494145</v>
      </c>
      <c r="F1856" s="11" t="s">
        <v>246</v>
      </c>
      <c r="G1856" s="12"/>
      <c r="H1856" s="12"/>
      <c r="I1856" s="13">
        <v>0</v>
      </c>
      <c r="J1856" s="13">
        <v>1</v>
      </c>
      <c r="K1856" s="14" t="str">
        <f>HYPERLINK("http://twitter.com/download/iphone","Twitter for iPhone")</f>
        <v>Twitter for iPhone</v>
      </c>
      <c r="L1856" s="13">
        <v>1336</v>
      </c>
      <c r="M1856" s="13">
        <v>1618</v>
      </c>
      <c r="N1856" s="13">
        <v>1</v>
      </c>
      <c r="O1856" s="15"/>
      <c r="P1856" s="6">
        <v>43184.945914351847</v>
      </c>
      <c r="Q1856" s="16" t="s">
        <v>60</v>
      </c>
      <c r="R1856" s="19"/>
      <c r="S1856" s="12"/>
      <c r="T1856" s="12"/>
      <c r="U1856" s="10" t="str">
        <f>HYPERLINK("https://pbs.twimg.com/profile_images/1025689046465617920/bYj49JHW.jpg","View")</f>
        <v>View</v>
      </c>
    </row>
    <row r="1857" spans="1:21" ht="51">
      <c r="A1857" s="6">
        <v>43440.888981481483</v>
      </c>
      <c r="B1857" s="7" t="str">
        <f>HYPERLINK("https://twitter.com/JuanPombar","@JuanPombar")</f>
        <v>@JuanPombar</v>
      </c>
      <c r="C1857" s="8" t="s">
        <v>6415</v>
      </c>
      <c r="D1857" s="9" t="s">
        <v>6416</v>
      </c>
      <c r="E1857" s="10" t="str">
        <f>HYPERLINK("https://twitter.com/JuanPombar/status/1070774913835982848","1070774913835982848")</f>
        <v>1070774913835982848</v>
      </c>
      <c r="F1857" s="12"/>
      <c r="G1857" s="12"/>
      <c r="H1857" s="12"/>
      <c r="I1857" s="13">
        <v>0</v>
      </c>
      <c r="J1857" s="13">
        <v>1</v>
      </c>
      <c r="K1857" s="14" t="str">
        <f>HYPERLINK("http://twitter.com/download/android","Twitter for Android")</f>
        <v>Twitter for Android</v>
      </c>
      <c r="L1857" s="13">
        <v>1103</v>
      </c>
      <c r="M1857" s="13">
        <v>261</v>
      </c>
      <c r="N1857" s="13">
        <v>61</v>
      </c>
      <c r="O1857" s="15"/>
      <c r="P1857" s="6">
        <v>39907.894618055558</v>
      </c>
      <c r="Q1857" s="16" t="s">
        <v>6417</v>
      </c>
      <c r="R1857" s="17" t="s">
        <v>6418</v>
      </c>
      <c r="S1857" s="11" t="s">
        <v>6419</v>
      </c>
      <c r="T1857" s="12"/>
      <c r="U1857" s="10" t="str">
        <f>HYPERLINK("https://pbs.twimg.com/profile_images/1019524742511022080/QZ_29XOf.jpg","View")</f>
        <v>View</v>
      </c>
    </row>
    <row r="1858" spans="1:21" ht="40.799999999999997">
      <c r="A1858" s="6">
        <v>43440.888611111106</v>
      </c>
      <c r="B1858" s="7" t="str">
        <f>HYPERLINK("https://twitter.com/CarmenZavaleta1","@CarmenZavaleta1")</f>
        <v>@CarmenZavaleta1</v>
      </c>
      <c r="C1858" s="8" t="s">
        <v>6420</v>
      </c>
      <c r="D1858" s="9" t="s">
        <v>6421</v>
      </c>
      <c r="E1858" s="10" t="str">
        <f>HYPERLINK("https://twitter.com/CarmenZavaleta1/status/1070774782604533761","1070774782604533761")</f>
        <v>1070774782604533761</v>
      </c>
      <c r="F1858" s="11" t="s">
        <v>246</v>
      </c>
      <c r="G1858" s="12"/>
      <c r="H1858" s="12"/>
      <c r="I1858" s="13">
        <v>0</v>
      </c>
      <c r="J1858" s="13">
        <v>0</v>
      </c>
      <c r="K1858" s="14" t="str">
        <f>HYPERLINK("http://twitter.com","Twitter Web Client")</f>
        <v>Twitter Web Client</v>
      </c>
      <c r="L1858" s="13">
        <v>349</v>
      </c>
      <c r="M1858" s="13">
        <v>684</v>
      </c>
      <c r="N1858" s="13">
        <v>2</v>
      </c>
      <c r="O1858" s="15"/>
      <c r="P1858" s="6">
        <v>40801.855219907404</v>
      </c>
      <c r="Q1858" s="12"/>
      <c r="R1858" s="17" t="s">
        <v>6422</v>
      </c>
      <c r="S1858" s="11" t="s">
        <v>6423</v>
      </c>
      <c r="T1858" s="12"/>
      <c r="U1858" s="10" t="str">
        <f>HYPERLINK("https://pbs.twimg.com/profile_images/949075359265271808/pvSe4B7v.jpg","View")</f>
        <v>View</v>
      </c>
    </row>
    <row r="1859" spans="1:21" ht="30.6">
      <c r="A1859" s="6">
        <v>43440.888159722221</v>
      </c>
      <c r="B1859" s="7" t="str">
        <f>HYPERLINK("https://twitter.com/MAdMadrit","@MAdMadrit")</f>
        <v>@MAdMadrit</v>
      </c>
      <c r="C1859" s="8" t="s">
        <v>6424</v>
      </c>
      <c r="D1859" s="9" t="s">
        <v>6425</v>
      </c>
      <c r="E1859" s="10" t="str">
        <f>HYPERLINK("https://twitter.com/MAdMadrit/status/1070774616703098880","1070774616703098880")</f>
        <v>1070774616703098880</v>
      </c>
      <c r="F1859" s="12"/>
      <c r="G1859" s="12"/>
      <c r="H1859" s="12"/>
      <c r="I1859" s="13">
        <v>0</v>
      </c>
      <c r="J1859" s="13">
        <v>0</v>
      </c>
      <c r="K1859" s="14" t="str">
        <f>HYPERLINK("http://twitter.com/download/android","Twitter for Android")</f>
        <v>Twitter for Android</v>
      </c>
      <c r="L1859" s="13">
        <v>355</v>
      </c>
      <c r="M1859" s="13">
        <v>359</v>
      </c>
      <c r="N1859" s="13">
        <v>5</v>
      </c>
      <c r="O1859" s="15"/>
      <c r="P1859" s="6">
        <v>41574.366377314815</v>
      </c>
      <c r="Q1859" s="12"/>
      <c r="R1859" s="17" t="s">
        <v>6426</v>
      </c>
      <c r="S1859" s="12"/>
      <c r="T1859" s="12"/>
      <c r="U1859" s="10" t="str">
        <f>HYPERLINK("https://pbs.twimg.com/profile_images/704206043371413504/pw0G-o3x.jpg","View")</f>
        <v>View</v>
      </c>
    </row>
    <row r="1860" spans="1:21" ht="51">
      <c r="A1860" s="6">
        <v>43440.888043981482</v>
      </c>
      <c r="B1860" s="7" t="str">
        <f>HYPERLINK("https://twitter.com/Esther26545599","@Esther26545599")</f>
        <v>@Esther26545599</v>
      </c>
      <c r="C1860" s="8" t="s">
        <v>6427</v>
      </c>
      <c r="D1860" s="9" t="s">
        <v>6428</v>
      </c>
      <c r="E1860" s="10" t="str">
        <f>HYPERLINK("https://twitter.com/Esther26545599/status/1070774575380729856","1070774575380729856")</f>
        <v>1070774575380729856</v>
      </c>
      <c r="F1860" s="12"/>
      <c r="G1860" s="11" t="s">
        <v>6429</v>
      </c>
      <c r="H1860" s="12"/>
      <c r="I1860" s="13">
        <v>0</v>
      </c>
      <c r="J1860" s="13">
        <v>0</v>
      </c>
      <c r="K1860" s="14" t="str">
        <f>HYPERLINK("http://twitter.com/download/iphone","Twitter for iPhone")</f>
        <v>Twitter for iPhone</v>
      </c>
      <c r="L1860" s="13">
        <v>828</v>
      </c>
      <c r="M1860" s="13">
        <v>1475</v>
      </c>
      <c r="N1860" s="13">
        <v>2</v>
      </c>
      <c r="O1860" s="15"/>
      <c r="P1860" s="6">
        <v>42930.520555555559</v>
      </c>
      <c r="Q1860" s="16" t="s">
        <v>6430</v>
      </c>
      <c r="R1860" s="19"/>
      <c r="S1860" s="12"/>
      <c r="T1860" s="12"/>
      <c r="U1860" s="10" t="str">
        <f>HYPERLINK("https://pbs.twimg.com/profile_images/885810296484450304/iNnoYVrw.jpg","View")</f>
        <v>View</v>
      </c>
    </row>
    <row r="1861" spans="1:21" ht="51">
      <c r="A1861" s="6">
        <v>43440.887060185181</v>
      </c>
      <c r="B1861" s="7" t="str">
        <f>HYPERLINK("https://twitter.com/luisllzz","@luisllzz")</f>
        <v>@luisllzz</v>
      </c>
      <c r="C1861" s="8" t="s">
        <v>6431</v>
      </c>
      <c r="D1861" s="9" t="s">
        <v>6432</v>
      </c>
      <c r="E1861" s="10" t="str">
        <f>HYPERLINK("https://twitter.com/luisllzz/status/1070774219825397760","1070774219825397760")</f>
        <v>1070774219825397760</v>
      </c>
      <c r="F1861" s="12"/>
      <c r="G1861" s="12"/>
      <c r="H1861" s="12"/>
      <c r="I1861" s="13">
        <v>0</v>
      </c>
      <c r="J1861" s="13">
        <v>0</v>
      </c>
      <c r="K1861" s="14" t="str">
        <f>HYPERLINK("http://twitter.com/download/android","Twitter for Android")</f>
        <v>Twitter for Android</v>
      </c>
      <c r="L1861" s="13">
        <v>413</v>
      </c>
      <c r="M1861" s="13">
        <v>454</v>
      </c>
      <c r="N1861" s="13">
        <v>0</v>
      </c>
      <c r="O1861" s="15"/>
      <c r="P1861" s="6">
        <v>42681.407650462963</v>
      </c>
      <c r="Q1861" s="16" t="s">
        <v>60</v>
      </c>
      <c r="R1861" s="17" t="s">
        <v>6433</v>
      </c>
      <c r="S1861" s="12"/>
      <c r="T1861" s="12"/>
      <c r="U1861" s="10" t="str">
        <f>HYPERLINK("https://pbs.twimg.com/profile_images/1001772071024721920/NpV230z9.jpg","View")</f>
        <v>View</v>
      </c>
    </row>
    <row r="1862" spans="1:21" ht="30.6">
      <c r="A1862" s="6">
        <v>43440.886701388888</v>
      </c>
      <c r="B1862" s="7" t="str">
        <f>HYPERLINK("https://twitter.com/ReichelGlz","@ReichelGlz")</f>
        <v>@ReichelGlz</v>
      </c>
      <c r="C1862" s="8" t="s">
        <v>6434</v>
      </c>
      <c r="D1862" s="9" t="s">
        <v>6435</v>
      </c>
      <c r="E1862" s="10" t="str">
        <f>HYPERLINK("https://twitter.com/ReichelGlz/status/1070774088027770882","1070774088027770882")</f>
        <v>1070774088027770882</v>
      </c>
      <c r="F1862" s="12"/>
      <c r="G1862" s="12"/>
      <c r="H1862" s="12"/>
      <c r="I1862" s="13">
        <v>5</v>
      </c>
      <c r="J1862" s="13">
        <v>25</v>
      </c>
      <c r="K1862" s="14" t="str">
        <f>HYPERLINK("http://twitter.com/download/iphone","Twitter for iPhone")</f>
        <v>Twitter for iPhone</v>
      </c>
      <c r="L1862" s="13">
        <v>2832</v>
      </c>
      <c r="M1862" s="13">
        <v>285</v>
      </c>
      <c r="N1862" s="13">
        <v>54</v>
      </c>
      <c r="O1862" s="15"/>
      <c r="P1862" s="6">
        <v>40530.748252314814</v>
      </c>
      <c r="Q1862" s="16" t="s">
        <v>6436</v>
      </c>
      <c r="R1862" s="17" t="s">
        <v>6437</v>
      </c>
      <c r="S1862" s="12"/>
      <c r="T1862" s="12"/>
      <c r="U1862" s="10" t="str">
        <f>HYPERLINK("https://pbs.twimg.com/profile_images/1067020311835680769/z7OpgoEa.jpg","View")</f>
        <v>View</v>
      </c>
    </row>
    <row r="1863" spans="1:21" ht="40.799999999999997">
      <c r="A1863" s="6">
        <v>43440.885497685187</v>
      </c>
      <c r="B1863" s="7" t="str">
        <f>HYPERLINK("https://twitter.com/lextresabogados","@lextresabogados")</f>
        <v>@lextresabogados</v>
      </c>
      <c r="C1863" s="8" t="s">
        <v>226</v>
      </c>
      <c r="D1863" s="9" t="s">
        <v>6438</v>
      </c>
      <c r="E1863" s="10" t="str">
        <f>HYPERLINK("https://twitter.com/lextresabogados/status/1070773652801634304","1070773652801634304")</f>
        <v>1070773652801634304</v>
      </c>
      <c r="F1863" s="12"/>
      <c r="G1863" s="12"/>
      <c r="H1863" s="12"/>
      <c r="I1863" s="13">
        <v>0</v>
      </c>
      <c r="J1863" s="13">
        <v>0</v>
      </c>
      <c r="K1863" s="14" t="str">
        <f>HYPERLINK("http://35.180.36.179","botize nueva")</f>
        <v>botize nueva</v>
      </c>
      <c r="L1863" s="13">
        <v>2912</v>
      </c>
      <c r="M1863" s="13">
        <v>3525</v>
      </c>
      <c r="N1863" s="13">
        <v>26</v>
      </c>
      <c r="O1863" s="15"/>
      <c r="P1863" s="6">
        <v>42880.770949074074</v>
      </c>
      <c r="Q1863" s="16" t="s">
        <v>230</v>
      </c>
      <c r="R1863" s="17" t="s">
        <v>231</v>
      </c>
      <c r="S1863" s="11" t="s">
        <v>232</v>
      </c>
      <c r="T1863" s="12"/>
      <c r="U1863" s="10" t="str">
        <f>HYPERLINK("https://pbs.twimg.com/profile_images/1068056978679898113/YnjKwiVy.jpg","View")</f>
        <v>View</v>
      </c>
    </row>
    <row r="1864" spans="1:21" ht="30.6">
      <c r="A1864" s="6">
        <v>43440.885462962964</v>
      </c>
      <c r="B1864" s="7" t="str">
        <f>HYPERLINK("https://twitter.com/enpaiszeta","@enpaiszeta")</f>
        <v>@enpaiszeta</v>
      </c>
      <c r="C1864" s="8" t="s">
        <v>5797</v>
      </c>
      <c r="D1864" s="9" t="s">
        <v>5798</v>
      </c>
      <c r="E1864" s="10" t="str">
        <f>HYPERLINK("https://twitter.com/enpaiszeta/status/1070773639757393921","1070773639757393921")</f>
        <v>1070773639757393921</v>
      </c>
      <c r="F1864" s="11" t="s">
        <v>5799</v>
      </c>
      <c r="G1864" s="11" t="s">
        <v>6209</v>
      </c>
      <c r="H1864" s="12"/>
      <c r="I1864" s="13">
        <v>1</v>
      </c>
      <c r="J1864" s="13">
        <v>2</v>
      </c>
      <c r="K1864" s="14" t="str">
        <f>HYPERLINK("https://www.socialgest.net","SocialGest")</f>
        <v>SocialGest</v>
      </c>
      <c r="L1864" s="13">
        <v>195618</v>
      </c>
      <c r="M1864" s="13">
        <v>1590</v>
      </c>
      <c r="N1864" s="13">
        <v>1043</v>
      </c>
      <c r="O1864" s="15"/>
      <c r="P1864" s="6">
        <v>40377.917337962965</v>
      </c>
      <c r="Q1864" s="16" t="s">
        <v>5801</v>
      </c>
      <c r="R1864" s="17" t="s">
        <v>5802</v>
      </c>
      <c r="S1864" s="11" t="s">
        <v>5803</v>
      </c>
      <c r="T1864" s="12"/>
      <c r="U1864" s="10" t="str">
        <f>HYPERLINK("https://pbs.twimg.com/profile_images/986324076628193280/tIK_X8wZ.jpg","View")</f>
        <v>View</v>
      </c>
    </row>
    <row r="1865" spans="1:21" ht="40.799999999999997">
      <c r="A1865" s="6">
        <v>43440.885393518518</v>
      </c>
      <c r="B1865" s="7" t="str">
        <f>HYPERLINK("https://twitter.com/Cusco61233307","@Cusco61233307")</f>
        <v>@Cusco61233307</v>
      </c>
      <c r="C1865" s="8" t="s">
        <v>6441</v>
      </c>
      <c r="D1865" s="9" t="s">
        <v>6442</v>
      </c>
      <c r="E1865" s="10" t="str">
        <f>HYPERLINK("https://twitter.com/Cusco61233307/status/1070773615715647488","1070773615715647488")</f>
        <v>1070773615715647488</v>
      </c>
      <c r="F1865" s="11" t="s">
        <v>6443</v>
      </c>
      <c r="G1865" s="12"/>
      <c r="H1865" s="12"/>
      <c r="I1865" s="13">
        <v>0</v>
      </c>
      <c r="J1865" s="13">
        <v>0</v>
      </c>
      <c r="K1865" s="14" t="str">
        <f>HYPERLINK("http://twitter.com/download/android","Twitter for Android")</f>
        <v>Twitter for Android</v>
      </c>
      <c r="L1865" s="13">
        <v>142</v>
      </c>
      <c r="M1865" s="13">
        <v>197</v>
      </c>
      <c r="N1865" s="13">
        <v>0</v>
      </c>
      <c r="O1865" s="15"/>
      <c r="P1865" s="6">
        <v>43269.704143518524</v>
      </c>
      <c r="Q1865" s="12"/>
      <c r="R1865" s="17" t="s">
        <v>6444</v>
      </c>
      <c r="S1865" s="12"/>
      <c r="T1865" s="12"/>
      <c r="U1865" s="10" t="str">
        <f>HYPERLINK("https://pbs.twimg.com/profile_images/1070373945986162720/augtrJIA.jpg","View")</f>
        <v>View</v>
      </c>
    </row>
    <row r="1866" spans="1:21" ht="20.399999999999999">
      <c r="A1866" s="6">
        <v>43440.885023148148</v>
      </c>
      <c r="B1866" s="7" t="str">
        <f>HYPERLINK("https://twitter.com/KALERGIPLAN3","@KALERGIPLAN3")</f>
        <v>@KALERGIPLAN3</v>
      </c>
      <c r="C1866" s="8" t="s">
        <v>2481</v>
      </c>
      <c r="D1866" s="9" t="s">
        <v>5418</v>
      </c>
      <c r="E1866" s="10" t="str">
        <f>HYPERLINK("https://twitter.com/KALERGIPLAN3/status/1070773481846030341","1070773481846030341")</f>
        <v>1070773481846030341</v>
      </c>
      <c r="F1866" s="11" t="s">
        <v>5419</v>
      </c>
      <c r="G1866" s="12"/>
      <c r="H1866" s="12"/>
      <c r="I1866" s="13">
        <v>0</v>
      </c>
      <c r="J1866" s="13">
        <v>1</v>
      </c>
      <c r="K1866" s="14" t="str">
        <f>HYPERLINK("http://twitter.com","Twitter Web Client")</f>
        <v>Twitter Web Client</v>
      </c>
      <c r="L1866" s="13">
        <v>759</v>
      </c>
      <c r="M1866" s="13">
        <v>1224</v>
      </c>
      <c r="N1866" s="13">
        <v>4</v>
      </c>
      <c r="O1866" s="15"/>
      <c r="P1866" s="6">
        <v>43126.55405092593</v>
      </c>
      <c r="Q1866" s="16" t="s">
        <v>2484</v>
      </c>
      <c r="R1866" s="17" t="s">
        <v>2485</v>
      </c>
      <c r="S1866" s="12"/>
      <c r="T1866" s="12"/>
      <c r="U1866" s="10" t="str">
        <f>HYPERLINK("https://pbs.twimg.com/profile_images/957285491707121664/UefjbD3b.jpg","View")</f>
        <v>View</v>
      </c>
    </row>
    <row r="1867" spans="1:21" ht="40.799999999999997">
      <c r="A1867" s="6">
        <v>43440.884699074071</v>
      </c>
      <c r="B1867" s="7" t="str">
        <f>HYPERLINK("https://twitter.com/ArminTenn","@ArminTenn")</f>
        <v>@ArminTenn</v>
      </c>
      <c r="C1867" s="8" t="s">
        <v>6446</v>
      </c>
      <c r="D1867" s="9" t="s">
        <v>6447</v>
      </c>
      <c r="E1867" s="10" t="str">
        <f>HYPERLINK("https://twitter.com/ArminTenn/status/1070773364476821504","1070773364476821504")</f>
        <v>1070773364476821504</v>
      </c>
      <c r="F1867" s="11" t="s">
        <v>6448</v>
      </c>
      <c r="G1867" s="12"/>
      <c r="H1867" s="12"/>
      <c r="I1867" s="13">
        <v>2</v>
      </c>
      <c r="J1867" s="13">
        <v>1</v>
      </c>
      <c r="K1867" s="14" t="str">
        <f>HYPERLINK("http://www.facebook.com/twitter","Facebook")</f>
        <v>Facebook</v>
      </c>
      <c r="L1867" s="13">
        <v>3134</v>
      </c>
      <c r="M1867" s="13">
        <v>2962</v>
      </c>
      <c r="N1867" s="13">
        <v>22</v>
      </c>
      <c r="O1867" s="15"/>
      <c r="P1867" s="6">
        <v>40474.490960648152</v>
      </c>
      <c r="Q1867" s="16" t="s">
        <v>6449</v>
      </c>
      <c r="R1867" s="17" t="s">
        <v>6450</v>
      </c>
      <c r="S1867" s="12"/>
      <c r="T1867" s="12"/>
      <c r="U1867" s="10" t="str">
        <f>HYPERLINK("https://pbs.twimg.com/profile_images/1022058135064911873/j9gHkmMh.jpg","View")</f>
        <v>View</v>
      </c>
    </row>
    <row r="1868" spans="1:21" ht="40.799999999999997">
      <c r="A1868" s="6">
        <v>43440.884363425925</v>
      </c>
      <c r="B1868" s="7" t="str">
        <f>HYPERLINK("https://twitter.com/JCarlosVilorio","@JCarlosVilorio")</f>
        <v>@JCarlosVilorio</v>
      </c>
      <c r="C1868" s="8" t="s">
        <v>6212</v>
      </c>
      <c r="D1868" s="9" t="s">
        <v>6213</v>
      </c>
      <c r="E1868" s="10" t="str">
        <f>HYPERLINK("https://twitter.com/JCarlosVilorio/status/1070773242992975873","1070773242992975873")</f>
        <v>1070773242992975873</v>
      </c>
      <c r="F1868" s="11" t="s">
        <v>6214</v>
      </c>
      <c r="G1868" s="11" t="s">
        <v>6215</v>
      </c>
      <c r="H1868" s="12"/>
      <c r="I1868" s="13">
        <v>1</v>
      </c>
      <c r="J1868" s="13">
        <v>0</v>
      </c>
      <c r="K1868" s="14" t="str">
        <f>HYPERLINK("https://buffer.com","Buffer")</f>
        <v>Buffer</v>
      </c>
      <c r="L1868" s="13">
        <v>3828</v>
      </c>
      <c r="M1868" s="13">
        <v>935</v>
      </c>
      <c r="N1868" s="13">
        <v>283</v>
      </c>
      <c r="O1868" s="15"/>
      <c r="P1868" s="6">
        <v>40851.505381944444</v>
      </c>
      <c r="Q1868" s="16" t="s">
        <v>6216</v>
      </c>
      <c r="R1868" s="17" t="s">
        <v>6217</v>
      </c>
      <c r="S1868" s="11" t="s">
        <v>6218</v>
      </c>
      <c r="T1868" s="12"/>
      <c r="U1868" s="10" t="str">
        <f>HYPERLINK("https://pbs.twimg.com/profile_images/988106454006685697/GHoiSR0O.jpg","View")</f>
        <v>View</v>
      </c>
    </row>
    <row r="1869" spans="1:21" ht="40.799999999999997">
      <c r="A1869" s="6">
        <v>43440.884351851855</v>
      </c>
      <c r="B1869" s="7" t="str">
        <f>HYPERLINK("https://twitter.com/libertaddigital","@libertaddigital")</f>
        <v>@libertaddigital</v>
      </c>
      <c r="C1869" s="8" t="s">
        <v>730</v>
      </c>
      <c r="D1869" s="9" t="s">
        <v>6438</v>
      </c>
      <c r="E1869" s="10" t="str">
        <f>HYPERLINK("https://twitter.com/libertaddigital/status/1070773237230026754","1070773237230026754")</f>
        <v>1070773237230026754</v>
      </c>
      <c r="F1869" s="12"/>
      <c r="G1869" s="12"/>
      <c r="H1869" s="12"/>
      <c r="I1869" s="13">
        <v>160</v>
      </c>
      <c r="J1869" s="13">
        <v>275</v>
      </c>
      <c r="K1869" s="14" t="str">
        <f>HYPERLINK("https://www.hootsuite.com","Hootsuite Inc.")</f>
        <v>Hootsuite Inc.</v>
      </c>
      <c r="L1869" s="13">
        <v>126266</v>
      </c>
      <c r="M1869" s="13">
        <v>562</v>
      </c>
      <c r="N1869" s="13">
        <v>2379</v>
      </c>
      <c r="O1869" s="18" t="s">
        <v>41</v>
      </c>
      <c r="P1869" s="6">
        <v>39899.727141203708</v>
      </c>
      <c r="Q1869" s="16" t="s">
        <v>200</v>
      </c>
      <c r="R1869" s="17" t="s">
        <v>733</v>
      </c>
      <c r="S1869" s="11" t="s">
        <v>734</v>
      </c>
      <c r="T1869" s="12"/>
      <c r="U1869" s="10" t="str">
        <f>HYPERLINK("https://pbs.twimg.com/profile_images/913700935603499008/ifTjXKGZ.jpg","View")</f>
        <v>View</v>
      </c>
    </row>
    <row r="1870" spans="1:21" ht="91.8">
      <c r="A1870" s="6">
        <v>43440.882592592592</v>
      </c>
      <c r="B1870" s="7" t="str">
        <f>HYPERLINK("https://twitter.com/PepitaMenaMart1","@PepitaMenaMart1")</f>
        <v>@PepitaMenaMart1</v>
      </c>
      <c r="C1870" s="8" t="s">
        <v>2188</v>
      </c>
      <c r="D1870" s="9" t="s">
        <v>6451</v>
      </c>
      <c r="E1870" s="10" t="str">
        <f>HYPERLINK("https://twitter.com/PepitaMenaMart1/status/1070772598903050240","1070772598903050240")</f>
        <v>1070772598903050240</v>
      </c>
      <c r="F1870" s="16" t="s">
        <v>6452</v>
      </c>
      <c r="G1870" s="12"/>
      <c r="H1870" s="12"/>
      <c r="I1870" s="13">
        <v>0</v>
      </c>
      <c r="J1870" s="13">
        <v>0</v>
      </c>
      <c r="K1870" s="14" t="str">
        <f>HYPERLINK("http://twitter.com/download/android","Twitter for Android")</f>
        <v>Twitter for Android</v>
      </c>
      <c r="L1870" s="13">
        <v>437</v>
      </c>
      <c r="M1870" s="13">
        <v>350</v>
      </c>
      <c r="N1870" s="13">
        <v>1</v>
      </c>
      <c r="O1870" s="15"/>
      <c r="P1870" s="6">
        <v>43124.888506944444</v>
      </c>
      <c r="Q1870" s="16" t="s">
        <v>2190</v>
      </c>
      <c r="R1870" s="17" t="s">
        <v>2191</v>
      </c>
      <c r="S1870" s="12"/>
      <c r="T1870" s="12"/>
      <c r="U1870" s="10" t="str">
        <f>HYPERLINK("https://pbs.twimg.com/profile_images/1053410905311064064/xChXdA8v.jpg","View")</f>
        <v>View</v>
      </c>
    </row>
    <row r="1871" spans="1:21" ht="20.399999999999999">
      <c r="A1871" s="6">
        <v>43440.881979166668</v>
      </c>
      <c r="B1871" s="7" t="str">
        <f>HYPERLINK("https://twitter.com/SomosGCanaria","@SomosGCanaria")</f>
        <v>@SomosGCanaria</v>
      </c>
      <c r="C1871" s="8" t="s">
        <v>6453</v>
      </c>
      <c r="D1871" s="9" t="s">
        <v>2521</v>
      </c>
      <c r="E1871" s="10" t="str">
        <f>HYPERLINK("https://twitter.com/SomosGCanaria/status/1070772379717033984","1070772379717033984")</f>
        <v>1070772379717033984</v>
      </c>
      <c r="F1871" s="11" t="s">
        <v>6454</v>
      </c>
      <c r="G1871" s="11" t="s">
        <v>6455</v>
      </c>
      <c r="H1871" s="12"/>
      <c r="I1871" s="13">
        <v>0</v>
      </c>
      <c r="J1871" s="13">
        <v>0</v>
      </c>
      <c r="K1871" s="14" t="str">
        <f>HYPERLINK("https://dlvrit.com/","dlvr.it")</f>
        <v>dlvr.it</v>
      </c>
      <c r="L1871" s="13">
        <v>2330</v>
      </c>
      <c r="M1871" s="13">
        <v>378</v>
      </c>
      <c r="N1871" s="13">
        <v>12</v>
      </c>
      <c r="O1871" s="15"/>
      <c r="P1871" s="6">
        <v>42487.804201388892</v>
      </c>
      <c r="Q1871" s="16" t="s">
        <v>6456</v>
      </c>
      <c r="R1871" s="17" t="s">
        <v>6457</v>
      </c>
      <c r="S1871" s="12"/>
      <c r="T1871" s="12"/>
      <c r="U1871" s="10" t="str">
        <f>HYPERLINK("https://pbs.twimg.com/profile_images/727524891205996545/jnkRIpDZ.jpg","View")</f>
        <v>View</v>
      </c>
    </row>
    <row r="1872" spans="1:21" ht="30.6">
      <c r="A1872" s="6">
        <v>43440.881655092591</v>
      </c>
      <c r="B1872" s="7" t="str">
        <f>HYPERLINK("https://twitter.com/JMancha64","@JMancha64")</f>
        <v>@JMancha64</v>
      </c>
      <c r="C1872" s="8" t="s">
        <v>6458</v>
      </c>
      <c r="D1872" s="9" t="s">
        <v>6459</v>
      </c>
      <c r="E1872" s="10" t="str">
        <f>HYPERLINK("https://twitter.com/JMancha64/status/1070772258921160704","1070772258921160704")</f>
        <v>1070772258921160704</v>
      </c>
      <c r="F1872" s="11" t="s">
        <v>246</v>
      </c>
      <c r="G1872" s="12"/>
      <c r="H1872" s="12"/>
      <c r="I1872" s="13">
        <v>0</v>
      </c>
      <c r="J1872" s="13">
        <v>0</v>
      </c>
      <c r="K1872" s="14" t="str">
        <f>HYPERLINK("http://twitter.com","Twitter Web Client")</f>
        <v>Twitter Web Client</v>
      </c>
      <c r="L1872" s="13">
        <v>302</v>
      </c>
      <c r="M1872" s="13">
        <v>365</v>
      </c>
      <c r="N1872" s="13">
        <v>1</v>
      </c>
      <c r="O1872" s="15"/>
      <c r="P1872" s="6">
        <v>41144.428252314814</v>
      </c>
      <c r="Q1872" s="16" t="s">
        <v>505</v>
      </c>
      <c r="R1872" s="17" t="s">
        <v>6460</v>
      </c>
      <c r="S1872" s="12"/>
      <c r="T1872" s="12"/>
      <c r="U1872" s="10" t="str">
        <f>HYPERLINK("https://pbs.twimg.com/profile_images/1041585010959101952/UwLNrDaB.jpg","View")</f>
        <v>View</v>
      </c>
    </row>
    <row r="1873" spans="1:21" ht="40.799999999999997">
      <c r="A1873" s="6">
        <v>43440.880972222221</v>
      </c>
      <c r="B1873" s="7" t="str">
        <f>HYPERLINK("https://twitter.com/Daniel2286VAL","@Daniel2286VAL")</f>
        <v>@Daniel2286VAL</v>
      </c>
      <c r="C1873" s="8" t="s">
        <v>528</v>
      </c>
      <c r="D1873" s="9" t="s">
        <v>4318</v>
      </c>
      <c r="E1873" s="10" t="str">
        <f>HYPERLINK("https://twitter.com/Daniel2286VAL/status/1070772011155316741","1070772011155316741")</f>
        <v>1070772011155316741</v>
      </c>
      <c r="F1873" s="11" t="s">
        <v>246</v>
      </c>
      <c r="G1873" s="11" t="s">
        <v>6461</v>
      </c>
      <c r="H1873" s="12"/>
      <c r="I1873" s="13">
        <v>13</v>
      </c>
      <c r="J1873" s="13">
        <v>8</v>
      </c>
      <c r="K1873" s="14" t="str">
        <f t="shared" ref="K1873:K1874" si="325">HYPERLINK("http://twitter.com/download/android","Twitter for Android")</f>
        <v>Twitter for Android</v>
      </c>
      <c r="L1873" s="13">
        <v>1125</v>
      </c>
      <c r="M1873" s="13">
        <v>1051</v>
      </c>
      <c r="N1873" s="13">
        <v>5</v>
      </c>
      <c r="O1873" s="15"/>
      <c r="P1873" s="6">
        <v>43182.681550925925</v>
      </c>
      <c r="Q1873" s="16" t="s">
        <v>532</v>
      </c>
      <c r="R1873" s="17" t="s">
        <v>533</v>
      </c>
      <c r="S1873" s="12"/>
      <c r="T1873" s="12"/>
      <c r="U1873" s="10" t="str">
        <f>HYPERLINK("https://pbs.twimg.com/profile_images/1050887908792655874/UREU1RPS.jpg","View")</f>
        <v>View</v>
      </c>
    </row>
    <row r="1874" spans="1:21" ht="102">
      <c r="A1874" s="6">
        <v>43440.880856481483</v>
      </c>
      <c r="B1874" s="7" t="str">
        <f>HYPERLINK("https://twitter.com/puertoen","@puertoen")</f>
        <v>@puertoen</v>
      </c>
      <c r="C1874" s="8" t="s">
        <v>6462</v>
      </c>
      <c r="D1874" s="9" t="s">
        <v>6463</v>
      </c>
      <c r="E1874" s="10" t="str">
        <f>HYPERLINK("https://twitter.com/puertoen/status/1070771969367388163","1070771969367388163")</f>
        <v>1070771969367388163</v>
      </c>
      <c r="F1874" s="11" t="s">
        <v>6464</v>
      </c>
      <c r="G1874" s="11" t="s">
        <v>6465</v>
      </c>
      <c r="H1874" s="12"/>
      <c r="I1874" s="13">
        <v>1</v>
      </c>
      <c r="J1874" s="13">
        <v>6</v>
      </c>
      <c r="K1874" s="14" t="str">
        <f t="shared" si="325"/>
        <v>Twitter for Android</v>
      </c>
      <c r="L1874" s="13">
        <v>1695</v>
      </c>
      <c r="M1874" s="13">
        <v>460</v>
      </c>
      <c r="N1874" s="13">
        <v>23</v>
      </c>
      <c r="O1874" s="15"/>
      <c r="P1874" s="6">
        <v>41823.673263888893</v>
      </c>
      <c r="Q1874" s="12"/>
      <c r="R1874" s="17" t="s">
        <v>6466</v>
      </c>
      <c r="S1874" s="12"/>
      <c r="T1874" s="12"/>
      <c r="U1874" s="10" t="str">
        <f>HYPERLINK("https://pbs.twimg.com/profile_images/731953939843821576/_E2MacFs.jpg","View")</f>
        <v>View</v>
      </c>
    </row>
    <row r="1875" spans="1:21" ht="40.799999999999997">
      <c r="A1875" s="6">
        <v>43440.879953703705</v>
      </c>
      <c r="B1875" s="7" t="str">
        <f>HYPERLINK("https://twitter.com/Columna_Cero","@Columna_Cero")</f>
        <v>@Columna_Cero</v>
      </c>
      <c r="C1875" s="8" t="s">
        <v>6467</v>
      </c>
      <c r="D1875" s="9" t="s">
        <v>5155</v>
      </c>
      <c r="E1875" s="10" t="str">
        <f>HYPERLINK("https://twitter.com/Columna_Cero/status/1070771644556238848","1070771644556238848")</f>
        <v>1070771644556238848</v>
      </c>
      <c r="F1875" s="11" t="s">
        <v>6468</v>
      </c>
      <c r="G1875" s="11" t="s">
        <v>6469</v>
      </c>
      <c r="H1875" s="12"/>
      <c r="I1875" s="13">
        <v>1</v>
      </c>
      <c r="J1875" s="13">
        <v>0</v>
      </c>
      <c r="K1875" s="14" t="str">
        <f>HYPERLINK("https://dlvrit.com/","dlvr.it")</f>
        <v>dlvr.it</v>
      </c>
      <c r="L1875" s="13">
        <v>731</v>
      </c>
      <c r="M1875" s="13">
        <v>281</v>
      </c>
      <c r="N1875" s="13">
        <v>9</v>
      </c>
      <c r="O1875" s="15"/>
      <c r="P1875" s="6">
        <v>42624.728530092594</v>
      </c>
      <c r="Q1875" s="12"/>
      <c r="R1875" s="17" t="s">
        <v>6470</v>
      </c>
      <c r="S1875" s="11" t="s">
        <v>6471</v>
      </c>
      <c r="T1875" s="12"/>
      <c r="U1875" s="10" t="str">
        <f>HYPERLINK("https://pbs.twimg.com/profile_images/793020448791531520/MmDvBF-3.jpg","View")</f>
        <v>View</v>
      </c>
    </row>
    <row r="1876" spans="1:21" ht="102">
      <c r="A1876" s="6">
        <v>43440.879907407405</v>
      </c>
      <c r="B1876" s="7" t="str">
        <f>HYPERLINK("https://twitter.com/jorgillox","@jorgillox")</f>
        <v>@jorgillox</v>
      </c>
      <c r="C1876" s="8" t="s">
        <v>6472</v>
      </c>
      <c r="D1876" s="9" t="s">
        <v>6473</v>
      </c>
      <c r="E1876" s="10" t="str">
        <f>HYPERLINK("https://twitter.com/jorgillox/status/1070771624964694018","1070771624964694018")</f>
        <v>1070771624964694018</v>
      </c>
      <c r="F1876" s="11" t="s">
        <v>6474</v>
      </c>
      <c r="G1876" s="11" t="s">
        <v>6475</v>
      </c>
      <c r="H1876" s="12"/>
      <c r="I1876" s="13">
        <v>0</v>
      </c>
      <c r="J1876" s="13">
        <v>0</v>
      </c>
      <c r="K1876" s="14" t="str">
        <f>HYPERLINK("http://twitter.com/download/android","Twitter for Android")</f>
        <v>Twitter for Android</v>
      </c>
      <c r="L1876" s="13">
        <v>465</v>
      </c>
      <c r="M1876" s="13">
        <v>627</v>
      </c>
      <c r="N1876" s="13">
        <v>2</v>
      </c>
      <c r="O1876" s="15"/>
      <c r="P1876" s="6">
        <v>40329.219236111108</v>
      </c>
      <c r="Q1876" s="16" t="s">
        <v>2948</v>
      </c>
      <c r="R1876" s="17" t="s">
        <v>6476</v>
      </c>
      <c r="S1876" s="12"/>
      <c r="T1876" s="12"/>
      <c r="U1876" s="10" t="str">
        <f>HYPERLINK("https://pbs.twimg.com/profile_images/1053070376387964928/GdrTqMNP.jpg","View")</f>
        <v>View</v>
      </c>
    </row>
    <row r="1877" spans="1:21" ht="30.6">
      <c r="A1877" s="6">
        <v>43440.879328703704</v>
      </c>
      <c r="B1877" s="7" t="str">
        <f>HYPERLINK("https://twitter.com/LVetrinbajo","@LVetrinbajo")</f>
        <v>@LVetrinbajo</v>
      </c>
      <c r="C1877" s="8" t="s">
        <v>5154</v>
      </c>
      <c r="D1877" s="9" t="s">
        <v>6477</v>
      </c>
      <c r="E1877" s="10" t="str">
        <f>HYPERLINK("https://twitter.com/LVetrinbajo/status/1070771415803183104","1070771415803183104")</f>
        <v>1070771415803183104</v>
      </c>
      <c r="F1877" s="11" t="s">
        <v>6478</v>
      </c>
      <c r="G1877" s="12"/>
      <c r="H1877" s="12"/>
      <c r="I1877" s="13">
        <v>0</v>
      </c>
      <c r="J1877" s="13">
        <v>1</v>
      </c>
      <c r="K1877" s="14" t="str">
        <f t="shared" ref="K1877:K1878" si="326">HYPERLINK("http://twitter.com/download/iphone","Twitter for iPhone")</f>
        <v>Twitter for iPhone</v>
      </c>
      <c r="L1877" s="13">
        <v>875</v>
      </c>
      <c r="M1877" s="13">
        <v>1945</v>
      </c>
      <c r="N1877" s="13">
        <v>7</v>
      </c>
      <c r="O1877" s="15"/>
      <c r="P1877" s="6">
        <v>43091.966851851852</v>
      </c>
      <c r="Q1877" s="16" t="s">
        <v>2966</v>
      </c>
      <c r="R1877" s="17" t="s">
        <v>5157</v>
      </c>
      <c r="S1877" s="12"/>
      <c r="T1877" s="12"/>
      <c r="U1877" s="10" t="str">
        <f>HYPERLINK("https://pbs.twimg.com/profile_images/1002927443542528001/Ye4GwF3U.jpg","View")</f>
        <v>View</v>
      </c>
    </row>
    <row r="1878" spans="1:21" ht="30.6">
      <c r="A1878" s="6">
        <v>43440.878182870365</v>
      </c>
      <c r="B1878" s="7" t="str">
        <f>HYPERLINK("https://twitter.com/TConbata","@TConbata")</f>
        <v>@TConbata</v>
      </c>
      <c r="C1878" s="8" t="s">
        <v>6413</v>
      </c>
      <c r="D1878" s="9" t="s">
        <v>6479</v>
      </c>
      <c r="E1878" s="10" t="str">
        <f>HYPERLINK("https://twitter.com/TConbata/status/1070771002358026245","1070771002358026245")</f>
        <v>1070771002358026245</v>
      </c>
      <c r="F1878" s="16" t="s">
        <v>6480</v>
      </c>
      <c r="G1878" s="11" t="s">
        <v>6481</v>
      </c>
      <c r="H1878" s="12"/>
      <c r="I1878" s="13">
        <v>0</v>
      </c>
      <c r="J1878" s="13">
        <v>0</v>
      </c>
      <c r="K1878" s="14" t="str">
        <f t="shared" si="326"/>
        <v>Twitter for iPhone</v>
      </c>
      <c r="L1878" s="13">
        <v>1336</v>
      </c>
      <c r="M1878" s="13">
        <v>1618</v>
      </c>
      <c r="N1878" s="13">
        <v>1</v>
      </c>
      <c r="O1878" s="15"/>
      <c r="P1878" s="6">
        <v>43184.945914351847</v>
      </c>
      <c r="Q1878" s="16" t="s">
        <v>60</v>
      </c>
      <c r="R1878" s="19"/>
      <c r="S1878" s="12"/>
      <c r="T1878" s="12"/>
      <c r="U1878" s="10" t="str">
        <f>HYPERLINK("https://pbs.twimg.com/profile_images/1025689046465617920/bYj49JHW.jpg","View")</f>
        <v>View</v>
      </c>
    </row>
    <row r="1879" spans="1:21" ht="30.6">
      <c r="A1879" s="6">
        <v>43440.877870370372</v>
      </c>
      <c r="B1879" s="7" t="str">
        <f>HYPERLINK("https://twitter.com/viriatofacha","@viriatofacha")</f>
        <v>@viriatofacha</v>
      </c>
      <c r="C1879" s="8" t="s">
        <v>6482</v>
      </c>
      <c r="D1879" s="9" t="s">
        <v>5252</v>
      </c>
      <c r="E1879" s="10" t="str">
        <f>HYPERLINK("https://twitter.com/viriatofacha/status/1070770886775578624","1070770886775578624")</f>
        <v>1070770886775578624</v>
      </c>
      <c r="F1879" s="11" t="s">
        <v>5253</v>
      </c>
      <c r="G1879" s="12"/>
      <c r="H1879" s="12"/>
      <c r="I1879" s="13">
        <v>2</v>
      </c>
      <c r="J1879" s="13">
        <v>1</v>
      </c>
      <c r="K1879" s="14" t="str">
        <f t="shared" ref="K1879:K1880" si="327">HYPERLINK("http://twitter.com","Twitter Web Client")</f>
        <v>Twitter Web Client</v>
      </c>
      <c r="L1879" s="13">
        <v>999</v>
      </c>
      <c r="M1879" s="13">
        <v>1020</v>
      </c>
      <c r="N1879" s="13">
        <v>4</v>
      </c>
      <c r="O1879" s="15"/>
      <c r="P1879" s="6">
        <v>41863.870127314818</v>
      </c>
      <c r="Q1879" s="16" t="s">
        <v>6483</v>
      </c>
      <c r="R1879" s="17" t="s">
        <v>6484</v>
      </c>
      <c r="S1879" s="12"/>
      <c r="T1879" s="12"/>
      <c r="U1879" s="10" t="str">
        <f>HYPERLINK("https://pbs.twimg.com/profile_images/1067484726087360520/2qrEoVTC.jpg","View")</f>
        <v>View</v>
      </c>
    </row>
    <row r="1880" spans="1:21" ht="40.799999999999997">
      <c r="A1880" s="6">
        <v>43440.876886574071</v>
      </c>
      <c r="B1880" s="7" t="str">
        <f>HYPERLINK("https://twitter.com/wizfun","@wizfun")</f>
        <v>@wizfun</v>
      </c>
      <c r="C1880" s="8" t="s">
        <v>5493</v>
      </c>
      <c r="D1880" s="9" t="s">
        <v>6486</v>
      </c>
      <c r="E1880" s="10" t="str">
        <f>HYPERLINK("https://twitter.com/wizfun/status/1070770530159071237","1070770530159071237")</f>
        <v>1070770530159071237</v>
      </c>
      <c r="F1880" s="11" t="s">
        <v>6488</v>
      </c>
      <c r="G1880" s="12"/>
      <c r="H1880" s="12"/>
      <c r="I1880" s="13">
        <v>0</v>
      </c>
      <c r="J1880" s="13">
        <v>0</v>
      </c>
      <c r="K1880" s="14" t="str">
        <f t="shared" si="327"/>
        <v>Twitter Web Client</v>
      </c>
      <c r="L1880" s="13">
        <v>200</v>
      </c>
      <c r="M1880" s="13">
        <v>291</v>
      </c>
      <c r="N1880" s="13">
        <v>13</v>
      </c>
      <c r="O1880" s="15"/>
      <c r="P1880" s="6">
        <v>40266.80096064815</v>
      </c>
      <c r="Q1880" s="16" t="s">
        <v>60</v>
      </c>
      <c r="R1880" s="17" t="s">
        <v>5496</v>
      </c>
      <c r="S1880" s="11" t="s">
        <v>5497</v>
      </c>
      <c r="T1880" s="12"/>
      <c r="U1880" s="10" t="str">
        <f>HYPERLINK("https://pbs.twimg.com/profile_images/1200922608/39422f431da47e9d825fb425d6cbae8136226167.jpg","View")</f>
        <v>View</v>
      </c>
    </row>
    <row r="1881" spans="1:21" ht="20.399999999999999">
      <c r="A1881" s="6">
        <v>43440.875891203701</v>
      </c>
      <c r="B1881" s="7" t="str">
        <f>HYPERLINK("https://twitter.com/merianmi","@merianmi")</f>
        <v>@merianmi</v>
      </c>
      <c r="C1881" s="8" t="s">
        <v>5284</v>
      </c>
      <c r="D1881" s="9" t="s">
        <v>6489</v>
      </c>
      <c r="E1881" s="10" t="str">
        <f>HYPERLINK("https://twitter.com/merianmi/status/1070770170447192064","1070770170447192064")</f>
        <v>1070770170447192064</v>
      </c>
      <c r="F1881" s="11" t="s">
        <v>6490</v>
      </c>
      <c r="G1881" s="12"/>
      <c r="H1881" s="12"/>
      <c r="I1881" s="13">
        <v>0</v>
      </c>
      <c r="J1881" s="13">
        <v>0</v>
      </c>
      <c r="K1881" s="14" t="str">
        <f>HYPERLINK("https://www.google.com/","Google")</f>
        <v>Google</v>
      </c>
      <c r="L1881" s="13">
        <v>1032</v>
      </c>
      <c r="M1881" s="13">
        <v>1920</v>
      </c>
      <c r="N1881" s="13">
        <v>24</v>
      </c>
      <c r="O1881" s="15"/>
      <c r="P1881" s="6">
        <v>40169.857233796298</v>
      </c>
      <c r="Q1881" s="16" t="s">
        <v>6491</v>
      </c>
      <c r="R1881" s="17" t="s">
        <v>6492</v>
      </c>
      <c r="S1881" s="11" t="s">
        <v>6493</v>
      </c>
      <c r="T1881" s="12"/>
      <c r="U1881" s="10" t="str">
        <f>HYPERLINK("https://pbs.twimg.com/profile_images/854401811830251521/dIYzgtDT.jpg","View")</f>
        <v>View</v>
      </c>
    </row>
    <row r="1882" spans="1:21" ht="30.6">
      <c r="A1882" s="6">
        <v>43440.875798611116</v>
      </c>
      <c r="B1882" s="7" t="str">
        <f>HYPERLINK("https://twitter.com/kerarterolo","@kerarterolo")</f>
        <v>@kerarterolo</v>
      </c>
      <c r="C1882" s="8" t="s">
        <v>6494</v>
      </c>
      <c r="D1882" s="9" t="s">
        <v>6495</v>
      </c>
      <c r="E1882" s="10" t="str">
        <f>HYPERLINK("https://twitter.com/kerarterolo/status/1070770137337335809","1070770137337335809")</f>
        <v>1070770137337335809</v>
      </c>
      <c r="F1882" s="11" t="s">
        <v>4628</v>
      </c>
      <c r="G1882" s="12"/>
      <c r="H1882" s="12"/>
      <c r="I1882" s="13">
        <v>1</v>
      </c>
      <c r="J1882" s="13">
        <v>0</v>
      </c>
      <c r="K1882" s="14" t="str">
        <f>HYPERLINK("http://twitter.com/download/android","Twitter for Android")</f>
        <v>Twitter for Android</v>
      </c>
      <c r="L1882" s="13">
        <v>122</v>
      </c>
      <c r="M1882" s="13">
        <v>171</v>
      </c>
      <c r="N1882" s="13">
        <v>1</v>
      </c>
      <c r="O1882" s="15"/>
      <c r="P1882" s="6">
        <v>41196.018460648149</v>
      </c>
      <c r="Q1882" s="12"/>
      <c r="R1882" s="17" t="s">
        <v>6496</v>
      </c>
      <c r="S1882" s="12"/>
      <c r="T1882" s="12"/>
      <c r="U1882" s="10" t="str">
        <f>HYPERLINK("https://pbs.twimg.com/profile_images/1036716985156022273/RcdB807G.jpg","View")</f>
        <v>View</v>
      </c>
    </row>
    <row r="1883" spans="1:21" ht="40.799999999999997">
      <c r="A1883" s="6">
        <v>43440.874803240746</v>
      </c>
      <c r="B1883" s="7" t="str">
        <f>HYPERLINK("https://twitter.com/joseprosell","@joseprosell")</f>
        <v>@joseprosell</v>
      </c>
      <c r="C1883" s="8" t="s">
        <v>6497</v>
      </c>
      <c r="D1883" s="9" t="s">
        <v>6498</v>
      </c>
      <c r="E1883" s="10" t="str">
        <f>HYPERLINK("https://twitter.com/joseprosell/status/1070769778279645184","1070769778279645184")</f>
        <v>1070769778279645184</v>
      </c>
      <c r="F1883" s="11" t="s">
        <v>6499</v>
      </c>
      <c r="G1883" s="11" t="s">
        <v>6500</v>
      </c>
      <c r="H1883" s="12"/>
      <c r="I1883" s="13">
        <v>0</v>
      </c>
      <c r="J1883" s="13">
        <v>0</v>
      </c>
      <c r="K1883" s="14" t="str">
        <f t="shared" ref="K1883:K1884" si="328">HYPERLINK("https://dlvrit.com/","dlvr.it")</f>
        <v>dlvr.it</v>
      </c>
      <c r="L1883" s="13">
        <v>1641</v>
      </c>
      <c r="M1883" s="13">
        <v>1094</v>
      </c>
      <c r="N1883" s="13">
        <v>66</v>
      </c>
      <c r="O1883" s="15"/>
      <c r="P1883" s="6">
        <v>39435.977430555555</v>
      </c>
      <c r="Q1883" s="16" t="s">
        <v>1249</v>
      </c>
      <c r="R1883" s="17" t="s">
        <v>6501</v>
      </c>
      <c r="S1883" s="11" t="s">
        <v>6502</v>
      </c>
      <c r="T1883" s="12"/>
      <c r="U1883" s="10" t="str">
        <f>HYPERLINK("https://pbs.twimg.com/profile_images/947585785577996290/ye0-j1o0.jpg","View")</f>
        <v>View</v>
      </c>
    </row>
    <row r="1884" spans="1:21" ht="20.399999999999999">
      <c r="A1884" s="6">
        <v>43440.8747337963</v>
      </c>
      <c r="B1884" s="7" t="str">
        <f>HYPERLINK("https://twitter.com/elconfidencial","@elconfidencial")</f>
        <v>@elconfidencial</v>
      </c>
      <c r="C1884" s="8" t="s">
        <v>542</v>
      </c>
      <c r="D1884" s="9" t="s">
        <v>5291</v>
      </c>
      <c r="E1884" s="10" t="str">
        <f>HYPERLINK("https://twitter.com/elconfidencial/status/1070769750475661312","1070769750475661312")</f>
        <v>1070769750475661312</v>
      </c>
      <c r="F1884" s="11" t="s">
        <v>6503</v>
      </c>
      <c r="G1884" s="12"/>
      <c r="H1884" s="12"/>
      <c r="I1884" s="13">
        <v>3</v>
      </c>
      <c r="J1884" s="13">
        <v>7</v>
      </c>
      <c r="K1884" s="14" t="str">
        <f t="shared" si="328"/>
        <v>dlvr.it</v>
      </c>
      <c r="L1884" s="13">
        <v>765914</v>
      </c>
      <c r="M1884" s="13">
        <v>183</v>
      </c>
      <c r="N1884" s="13">
        <v>11126</v>
      </c>
      <c r="O1884" s="18" t="s">
        <v>41</v>
      </c>
      <c r="P1884" s="6">
        <v>39759.468657407408</v>
      </c>
      <c r="Q1884" s="16" t="s">
        <v>544</v>
      </c>
      <c r="R1884" s="17" t="s">
        <v>545</v>
      </c>
      <c r="S1884" s="11" t="s">
        <v>422</v>
      </c>
      <c r="T1884" s="12"/>
      <c r="U1884" s="10" t="str">
        <f>HYPERLINK("https://pbs.twimg.com/profile_images/831498645476356097/TVsVGq4W.jpg","View")</f>
        <v>View</v>
      </c>
    </row>
    <row r="1885" spans="1:21" ht="40.799999999999997">
      <c r="A1885" s="6">
        <v>43440.873460648145</v>
      </c>
      <c r="B1885" s="7" t="str">
        <f>HYPERLINK("https://twitter.com/soup_dragons","@soup_dragons")</f>
        <v>@soup_dragons</v>
      </c>
      <c r="C1885" s="8" t="s">
        <v>2209</v>
      </c>
      <c r="D1885" s="9" t="s">
        <v>6504</v>
      </c>
      <c r="E1885" s="10" t="str">
        <f>HYPERLINK("https://twitter.com/soup_dragons/status/1070769291585355776","1070769291585355776")</f>
        <v>1070769291585355776</v>
      </c>
      <c r="F1885" s="12"/>
      <c r="G1885" s="12"/>
      <c r="H1885" s="12"/>
      <c r="I1885" s="13">
        <v>0</v>
      </c>
      <c r="J1885" s="13">
        <v>0</v>
      </c>
      <c r="K1885" s="14" t="str">
        <f>HYPERLINK("http://twitter.com","Twitter Web Client")</f>
        <v>Twitter Web Client</v>
      </c>
      <c r="L1885" s="13">
        <v>6077</v>
      </c>
      <c r="M1885" s="13">
        <v>5473</v>
      </c>
      <c r="N1885" s="13">
        <v>21</v>
      </c>
      <c r="O1885" s="15"/>
      <c r="P1885" s="6">
        <v>42003.72320601852</v>
      </c>
      <c r="Q1885" s="16" t="s">
        <v>6505</v>
      </c>
      <c r="R1885" s="17" t="s">
        <v>6506</v>
      </c>
      <c r="S1885" s="11" t="s">
        <v>6507</v>
      </c>
      <c r="T1885" s="12"/>
      <c r="U1885" s="10" t="str">
        <f>HYPERLINK("https://pbs.twimg.com/profile_images/1060627899550756865/WgevRwDI.jpg","View")</f>
        <v>View</v>
      </c>
    </row>
    <row r="1886" spans="1:21" ht="40.799999999999997">
      <c r="A1886" s="6">
        <v>43440.87226851852</v>
      </c>
      <c r="B1886" s="7" t="str">
        <f>HYPERLINK("https://twitter.com/TorturoKracia","@TorturoKracia")</f>
        <v>@TorturoKracia</v>
      </c>
      <c r="C1886" s="8" t="s">
        <v>6508</v>
      </c>
      <c r="D1886" s="9" t="s">
        <v>6509</v>
      </c>
      <c r="E1886" s="10" t="str">
        <f>HYPERLINK("https://twitter.com/TorturoKracia/status/1070768860373106688","1070768860373106688")</f>
        <v>1070768860373106688</v>
      </c>
      <c r="F1886" s="12"/>
      <c r="G1886" s="12"/>
      <c r="H1886" s="12"/>
      <c r="I1886" s="13">
        <v>0</v>
      </c>
      <c r="J1886" s="13">
        <v>1</v>
      </c>
      <c r="K1886" s="14" t="str">
        <f>HYPERLINK("https://mobile.twitter.com","Twitter Lite")</f>
        <v>Twitter Lite</v>
      </c>
      <c r="L1886" s="13">
        <v>4562</v>
      </c>
      <c r="M1886" s="13">
        <v>5023</v>
      </c>
      <c r="N1886" s="13">
        <v>37</v>
      </c>
      <c r="O1886" s="15"/>
      <c r="P1886" s="6">
        <v>41203.601689814815</v>
      </c>
      <c r="Q1886" s="12"/>
      <c r="R1886" s="17" t="s">
        <v>6511</v>
      </c>
      <c r="S1886" s="11" t="s">
        <v>6512</v>
      </c>
      <c r="T1886" s="12"/>
      <c r="U1886" s="10" t="str">
        <f>HYPERLINK("https://pbs.twimg.com/profile_images/978662278492049409/wxbUcBuv.jpg","View")</f>
        <v>View</v>
      </c>
    </row>
    <row r="1887" spans="1:21" ht="30.6">
      <c r="A1887" s="6">
        <v>43440.871874999997</v>
      </c>
      <c r="B1887" s="7" t="str">
        <f>HYPERLINK("https://twitter.com/ortizvaldes45","@ortizvaldes45")</f>
        <v>@ortizvaldes45</v>
      </c>
      <c r="C1887" s="8" t="s">
        <v>6515</v>
      </c>
      <c r="D1887" s="9" t="s">
        <v>3671</v>
      </c>
      <c r="E1887" s="10" t="str">
        <f>HYPERLINK("https://twitter.com/ortizvaldes45/status/1070768716760145921","1070768716760145921")</f>
        <v>1070768716760145921</v>
      </c>
      <c r="F1887" s="11" t="s">
        <v>6516</v>
      </c>
      <c r="G1887" s="12"/>
      <c r="H1887" s="12"/>
      <c r="I1887" s="13">
        <v>1</v>
      </c>
      <c r="J1887" s="13">
        <v>0</v>
      </c>
      <c r="K1887" s="14" t="str">
        <f t="shared" ref="K1887:K1890" si="329">HYPERLINK("http://twitter.com","Twitter Web Client")</f>
        <v>Twitter Web Client</v>
      </c>
      <c r="L1887" s="13">
        <v>2740</v>
      </c>
      <c r="M1887" s="13">
        <v>5001</v>
      </c>
      <c r="N1887" s="13">
        <v>49</v>
      </c>
      <c r="O1887" s="15"/>
      <c r="P1887" s="6">
        <v>42388.072789351849</v>
      </c>
      <c r="Q1887" s="16" t="s">
        <v>6517</v>
      </c>
      <c r="R1887" s="17" t="s">
        <v>6518</v>
      </c>
      <c r="S1887" s="12"/>
      <c r="T1887" s="12"/>
      <c r="U1887" s="10" t="str">
        <f>HYPERLINK("https://pbs.twimg.com/profile_images/803685394835337216/tHi4YGPk.jpg","View")</f>
        <v>View</v>
      </c>
    </row>
    <row r="1888" spans="1:21" ht="30.6">
      <c r="A1888" s="6">
        <v>43440.871423611112</v>
      </c>
      <c r="B1888" s="7" t="str">
        <f>HYPERLINK("https://twitter.com/IvnFernandez","@IvnFernandez")</f>
        <v>@IvnFernandez</v>
      </c>
      <c r="C1888" s="8" t="s">
        <v>6519</v>
      </c>
      <c r="D1888" s="9" t="s">
        <v>1514</v>
      </c>
      <c r="E1888" s="10" t="str">
        <f>HYPERLINK("https://twitter.com/IvnFernandez/status/1070768551294832640","1070768551294832640")</f>
        <v>1070768551294832640</v>
      </c>
      <c r="F1888" s="11" t="s">
        <v>246</v>
      </c>
      <c r="G1888" s="12"/>
      <c r="H1888" s="12"/>
      <c r="I1888" s="13">
        <v>0</v>
      </c>
      <c r="J1888" s="13">
        <v>0</v>
      </c>
      <c r="K1888" s="14" t="str">
        <f t="shared" si="329"/>
        <v>Twitter Web Client</v>
      </c>
      <c r="L1888" s="13">
        <v>164</v>
      </c>
      <c r="M1888" s="13">
        <v>371</v>
      </c>
      <c r="N1888" s="13">
        <v>2</v>
      </c>
      <c r="O1888" s="15"/>
      <c r="P1888" s="6">
        <v>40921.454780092594</v>
      </c>
      <c r="Q1888" s="16" t="s">
        <v>6522</v>
      </c>
      <c r="R1888" s="17" t="s">
        <v>6523</v>
      </c>
      <c r="S1888" s="12"/>
      <c r="T1888" s="12"/>
      <c r="U1888" s="10" t="str">
        <f>HYPERLINK("https://pbs.twimg.com/profile_images/900696094698590208/rS7ed3AR.jpg","View")</f>
        <v>View</v>
      </c>
    </row>
    <row r="1889" spans="1:21" ht="40.799999999999997">
      <c r="A1889" s="6">
        <v>43440.871400462958</v>
      </c>
      <c r="B1889" s="7" t="str">
        <f>HYPERLINK("https://twitter.com/canalls77","@canalls77")</f>
        <v>@canalls77</v>
      </c>
      <c r="C1889" s="8" t="s">
        <v>4828</v>
      </c>
      <c r="D1889" s="9" t="s">
        <v>5252</v>
      </c>
      <c r="E1889" s="10" t="str">
        <f>HYPERLINK("https://twitter.com/canalls77/status/1070768544768512000","1070768544768512000")</f>
        <v>1070768544768512000</v>
      </c>
      <c r="F1889" s="11" t="s">
        <v>5253</v>
      </c>
      <c r="G1889" s="12"/>
      <c r="H1889" s="12"/>
      <c r="I1889" s="13">
        <v>1</v>
      </c>
      <c r="J1889" s="13">
        <v>3</v>
      </c>
      <c r="K1889" s="14" t="str">
        <f t="shared" si="329"/>
        <v>Twitter Web Client</v>
      </c>
      <c r="L1889" s="13">
        <v>12753</v>
      </c>
      <c r="M1889" s="13">
        <v>8673</v>
      </c>
      <c r="N1889" s="13">
        <v>97</v>
      </c>
      <c r="O1889" s="15"/>
      <c r="P1889" s="6">
        <v>40594.57130787037</v>
      </c>
      <c r="Q1889" s="16" t="s">
        <v>4831</v>
      </c>
      <c r="R1889" s="17" t="s">
        <v>4832</v>
      </c>
      <c r="S1889" s="12"/>
      <c r="T1889" s="12"/>
      <c r="U1889" s="10" t="str">
        <f>HYPERLINK("https://pbs.twimg.com/profile_images/1070987418172575746/SXEGUNP5.jpg","View")</f>
        <v>View</v>
      </c>
    </row>
    <row r="1890" spans="1:21" ht="40.799999999999997">
      <c r="A1890" s="6">
        <v>43440.870578703703</v>
      </c>
      <c r="B1890" s="7" t="str">
        <f>HYPERLINK("https://twitter.com/furretillo","@furretillo")</f>
        <v>@furretillo</v>
      </c>
      <c r="C1890" s="8" t="s">
        <v>6526</v>
      </c>
      <c r="D1890" s="9" t="s">
        <v>6527</v>
      </c>
      <c r="E1890" s="10" t="str">
        <f>HYPERLINK("https://twitter.com/furretillo/status/1070768248189267973","1070768248189267973")</f>
        <v>1070768248189267973</v>
      </c>
      <c r="F1890" s="12"/>
      <c r="G1890" s="12"/>
      <c r="H1890" s="12"/>
      <c r="I1890" s="13">
        <v>0</v>
      </c>
      <c r="J1890" s="13">
        <v>1</v>
      </c>
      <c r="K1890" s="14" t="str">
        <f t="shared" si="329"/>
        <v>Twitter Web Client</v>
      </c>
      <c r="L1890" s="13">
        <v>4709</v>
      </c>
      <c r="M1890" s="13">
        <v>4003</v>
      </c>
      <c r="N1890" s="13">
        <v>22</v>
      </c>
      <c r="O1890" s="15"/>
      <c r="P1890" s="6">
        <v>41412.937569444446</v>
      </c>
      <c r="Q1890" s="12"/>
      <c r="R1890" s="17" t="s">
        <v>6528</v>
      </c>
      <c r="S1890" s="12"/>
      <c r="T1890" s="12"/>
      <c r="U1890" s="10" t="str">
        <f>HYPERLINK("https://pbs.twimg.com/profile_images/3678005210/e8150c2c2b1c85957c34007aba1973d9.jpeg","View")</f>
        <v>View</v>
      </c>
    </row>
    <row r="1891" spans="1:21" ht="20.399999999999999">
      <c r="A1891" s="6">
        <v>43440.870439814811</v>
      </c>
      <c r="B1891" s="7" t="str">
        <f>HYPERLINK("https://twitter.com/alav2012","@alav2012")</f>
        <v>@alav2012</v>
      </c>
      <c r="C1891" s="8" t="s">
        <v>3526</v>
      </c>
      <c r="D1891" s="9" t="s">
        <v>5291</v>
      </c>
      <c r="E1891" s="10" t="str">
        <f>HYPERLINK("https://twitter.com/alav2012/status/1070768194892283905","1070768194892283905")</f>
        <v>1070768194892283905</v>
      </c>
      <c r="F1891" s="11" t="s">
        <v>5099</v>
      </c>
      <c r="G1891" s="12"/>
      <c r="H1891" s="12"/>
      <c r="I1891" s="13">
        <v>0</v>
      </c>
      <c r="J1891" s="13">
        <v>0</v>
      </c>
      <c r="K1891" s="14" t="str">
        <f>HYPERLINK("http://twitter.com/download/android","Twitter for Android")</f>
        <v>Twitter for Android</v>
      </c>
      <c r="L1891" s="13">
        <v>13090</v>
      </c>
      <c r="M1891" s="13">
        <v>13682</v>
      </c>
      <c r="N1891" s="13">
        <v>24</v>
      </c>
      <c r="O1891" s="15"/>
      <c r="P1891" s="6">
        <v>41252.014976851853</v>
      </c>
      <c r="Q1891" s="16" t="s">
        <v>3527</v>
      </c>
      <c r="R1891" s="19"/>
      <c r="S1891" s="12"/>
      <c r="T1891" s="12"/>
      <c r="U1891" s="10" t="str">
        <f>HYPERLINK("https://pbs.twimg.com/profile_images/2953608355/4490ac1b835f73e3cd80ddf8d395257b.jpeg","View")</f>
        <v>View</v>
      </c>
    </row>
    <row r="1892" spans="1:21" ht="30.6">
      <c r="A1892" s="6">
        <v>43440.870347222226</v>
      </c>
      <c r="B1892" s="7" t="str">
        <f>HYPERLINK("https://twitter.com/HonestHumanity","@HonestHumanity")</f>
        <v>@HonestHumanity</v>
      </c>
      <c r="C1892" s="8" t="s">
        <v>849</v>
      </c>
      <c r="D1892" s="9" t="s">
        <v>6529</v>
      </c>
      <c r="E1892" s="10" t="str">
        <f>HYPERLINK("https://twitter.com/HonestHumanity/status/1070768162512224256","1070768162512224256")</f>
        <v>1070768162512224256</v>
      </c>
      <c r="F1892" s="11" t="s">
        <v>246</v>
      </c>
      <c r="G1892" s="12"/>
      <c r="H1892" s="12"/>
      <c r="I1892" s="13">
        <v>0</v>
      </c>
      <c r="J1892" s="13">
        <v>0</v>
      </c>
      <c r="K1892" s="14" t="str">
        <f>HYPERLINK("http://twitter.com","Twitter Web Client")</f>
        <v>Twitter Web Client</v>
      </c>
      <c r="L1892" s="13">
        <v>2445</v>
      </c>
      <c r="M1892" s="13">
        <v>2782</v>
      </c>
      <c r="N1892" s="13">
        <v>157</v>
      </c>
      <c r="O1892" s="15"/>
      <c r="P1892" s="6">
        <v>41604.924803240741</v>
      </c>
      <c r="Q1892" s="16" t="s">
        <v>852</v>
      </c>
      <c r="R1892" s="17" t="s">
        <v>853</v>
      </c>
      <c r="S1892" s="12"/>
      <c r="T1892" s="12"/>
      <c r="U1892" s="10" t="str">
        <f>HYPERLINK("https://pbs.twimg.com/profile_images/1004050338977107973/eHu950Tj.jpg","View")</f>
        <v>View</v>
      </c>
    </row>
    <row r="1893" spans="1:21" ht="40.799999999999997">
      <c r="A1893" s="6">
        <v>43440.870266203703</v>
      </c>
      <c r="B1893" s="7" t="str">
        <f>HYPERLINK("https://twitter.com/amvivas1","@amvivas1")</f>
        <v>@amvivas1</v>
      </c>
      <c r="C1893" s="8" t="s">
        <v>6530</v>
      </c>
      <c r="D1893" s="9" t="s">
        <v>6531</v>
      </c>
      <c r="E1893" s="10" t="str">
        <f>HYPERLINK("https://twitter.com/amvivas1/status/1070768132732657665","1070768132732657665")</f>
        <v>1070768132732657665</v>
      </c>
      <c r="F1893" s="12"/>
      <c r="G1893" s="12"/>
      <c r="H1893" s="12"/>
      <c r="I1893" s="13">
        <v>1</v>
      </c>
      <c r="J1893" s="13">
        <v>1</v>
      </c>
      <c r="K1893" s="14" t="str">
        <f t="shared" ref="K1893:K1894" si="330">HYPERLINK("http://twitter.com/download/android","Twitter for Android")</f>
        <v>Twitter for Android</v>
      </c>
      <c r="L1893" s="13">
        <v>19</v>
      </c>
      <c r="M1893" s="13">
        <v>43</v>
      </c>
      <c r="N1893" s="13">
        <v>0</v>
      </c>
      <c r="O1893" s="15"/>
      <c r="P1893" s="6">
        <v>41866.54724537037</v>
      </c>
      <c r="Q1893" s="12"/>
      <c r="R1893" s="19"/>
      <c r="S1893" s="12"/>
      <c r="T1893" s="12"/>
      <c r="U1893" s="10" t="str">
        <f>HYPERLINK("https://pbs.twimg.com/profile_images/572003467679674368/TQ891fcE.jpeg","View")</f>
        <v>View</v>
      </c>
    </row>
    <row r="1894" spans="1:21" ht="30.6">
      <c r="A1894" s="6">
        <v>43440.870219907403</v>
      </c>
      <c r="B1894" s="7" t="str">
        <f>HYPERLINK("https://twitter.com/miruiz_23","@miruiz_23")</f>
        <v>@miruiz_23</v>
      </c>
      <c r="C1894" s="8" t="s">
        <v>6532</v>
      </c>
      <c r="D1894" s="9" t="s">
        <v>6533</v>
      </c>
      <c r="E1894" s="10" t="str">
        <f>HYPERLINK("https://twitter.com/miruiz_23/status/1070768114600685569","1070768114600685569")</f>
        <v>1070768114600685569</v>
      </c>
      <c r="F1894" s="12"/>
      <c r="G1894" s="11" t="s">
        <v>6534</v>
      </c>
      <c r="H1894" s="12"/>
      <c r="I1894" s="13">
        <v>0</v>
      </c>
      <c r="J1894" s="13">
        <v>3</v>
      </c>
      <c r="K1894" s="14" t="str">
        <f t="shared" si="330"/>
        <v>Twitter for Android</v>
      </c>
      <c r="L1894" s="13">
        <v>89</v>
      </c>
      <c r="M1894" s="13">
        <v>250</v>
      </c>
      <c r="N1894" s="13">
        <v>0</v>
      </c>
      <c r="O1894" s="15"/>
      <c r="P1894" s="6">
        <v>41327.839247685188</v>
      </c>
      <c r="Q1894" s="16" t="s">
        <v>6535</v>
      </c>
      <c r="R1894" s="17" t="s">
        <v>6536</v>
      </c>
      <c r="S1894" s="12"/>
      <c r="T1894" s="12"/>
      <c r="U1894" s="10" t="str">
        <f>HYPERLINK("https://pbs.twimg.com/profile_images/1069030859213295616/VtYwnulK.jpg","View")</f>
        <v>View</v>
      </c>
    </row>
    <row r="1895" spans="1:21" ht="30.6">
      <c r="A1895" s="6">
        <v>43440.870069444441</v>
      </c>
      <c r="B1895" s="7" t="str">
        <f>HYPERLINK("https://twitter.com/LINCE74545899","@LINCE74545899")</f>
        <v>@LINCE74545899</v>
      </c>
      <c r="C1895" s="8" t="s">
        <v>6257</v>
      </c>
      <c r="D1895" s="9" t="s">
        <v>1514</v>
      </c>
      <c r="E1895" s="10" t="str">
        <f>HYPERLINK("https://twitter.com/LINCE74545899/status/1070768061999931394","1070768061999931394")</f>
        <v>1070768061999931394</v>
      </c>
      <c r="F1895" s="11" t="s">
        <v>246</v>
      </c>
      <c r="G1895" s="12"/>
      <c r="H1895" s="12"/>
      <c r="I1895" s="13">
        <v>0</v>
      </c>
      <c r="J1895" s="13">
        <v>0</v>
      </c>
      <c r="K1895" s="14" t="str">
        <f>HYPERLINK("http://twitter.com","Twitter Web Client")</f>
        <v>Twitter Web Client</v>
      </c>
      <c r="L1895" s="13">
        <v>73</v>
      </c>
      <c r="M1895" s="13">
        <v>128</v>
      </c>
      <c r="N1895" s="13">
        <v>0</v>
      </c>
      <c r="O1895" s="15"/>
      <c r="P1895" s="6">
        <v>43361.568344907406</v>
      </c>
      <c r="Q1895" s="12"/>
      <c r="R1895" s="19"/>
      <c r="S1895" s="12"/>
      <c r="T1895" s="12"/>
      <c r="U1895" s="10" t="str">
        <f>HYPERLINK("https://pbs.twimg.com/profile_images/1042017361551917056/MKvMmp6K.jpg","View")</f>
        <v>View</v>
      </c>
    </row>
    <row r="1896" spans="1:21" ht="30.6">
      <c r="A1896" s="6">
        <v>43440.869560185187</v>
      </c>
      <c r="B1896" s="7" t="str">
        <f>HYPERLINK("https://twitter.com/CONCHA_ZARAGOZA","@CONCHA_ZARAGOZA")</f>
        <v>@CONCHA_ZARAGOZA</v>
      </c>
      <c r="C1896" s="8" t="s">
        <v>2741</v>
      </c>
      <c r="D1896" s="9" t="s">
        <v>1514</v>
      </c>
      <c r="E1896" s="10" t="str">
        <f>HYPERLINK("https://twitter.com/CONCHA_ZARAGOZA/status/1070767878381756417","1070767878381756417")</f>
        <v>1070767878381756417</v>
      </c>
      <c r="F1896" s="11" t="s">
        <v>246</v>
      </c>
      <c r="G1896" s="12"/>
      <c r="H1896" s="12"/>
      <c r="I1896" s="13">
        <v>4</v>
      </c>
      <c r="J1896" s="13">
        <v>3</v>
      </c>
      <c r="K1896" s="14" t="str">
        <f t="shared" ref="K1896:K1897" si="331">HYPERLINK("http://twitter.com/download/android","Twitter for Android")</f>
        <v>Twitter for Android</v>
      </c>
      <c r="L1896" s="13">
        <v>3027</v>
      </c>
      <c r="M1896" s="13">
        <v>3369</v>
      </c>
      <c r="N1896" s="13">
        <v>80</v>
      </c>
      <c r="O1896" s="15"/>
      <c r="P1896" s="6">
        <v>40772.991435185184</v>
      </c>
      <c r="Q1896" s="16" t="s">
        <v>2744</v>
      </c>
      <c r="R1896" s="17" t="s">
        <v>2745</v>
      </c>
      <c r="S1896" s="12"/>
      <c r="T1896" s="12"/>
      <c r="U1896" s="10" t="str">
        <f>HYPERLINK("https://pbs.twimg.com/profile_images/881951172659204097/qzahdlGI.jpg","View")</f>
        <v>View</v>
      </c>
    </row>
    <row r="1897" spans="1:21" ht="40.799999999999997">
      <c r="A1897" s="6">
        <v>43440.868715277778</v>
      </c>
      <c r="B1897" s="7" t="str">
        <f>HYPERLINK("https://twitter.com/Jokertersen","@Jokertersen")</f>
        <v>@Jokertersen</v>
      </c>
      <c r="C1897" s="8" t="s">
        <v>681</v>
      </c>
      <c r="D1897" s="9" t="s">
        <v>6537</v>
      </c>
      <c r="E1897" s="10" t="str">
        <f>HYPERLINK("https://twitter.com/Jokertersen/status/1070767569739632643","1070767569739632643")</f>
        <v>1070767569739632643</v>
      </c>
      <c r="F1897" s="16" t="s">
        <v>86</v>
      </c>
      <c r="G1897" s="12"/>
      <c r="H1897" s="12"/>
      <c r="I1897" s="13">
        <v>0</v>
      </c>
      <c r="J1897" s="13">
        <v>0</v>
      </c>
      <c r="K1897" s="14" t="str">
        <f t="shared" si="331"/>
        <v>Twitter for Android</v>
      </c>
      <c r="L1897" s="13">
        <v>233</v>
      </c>
      <c r="M1897" s="13">
        <v>357</v>
      </c>
      <c r="N1897" s="13">
        <v>1</v>
      </c>
      <c r="O1897" s="15"/>
      <c r="P1897" s="6">
        <v>40052.495023148149</v>
      </c>
      <c r="Q1897" s="16" t="s">
        <v>6538</v>
      </c>
      <c r="R1897" s="17" t="s">
        <v>6539</v>
      </c>
      <c r="S1897" s="12"/>
      <c r="T1897" s="12"/>
      <c r="U1897" s="10" t="str">
        <f>HYPERLINK("https://pbs.twimg.com/profile_images/1037093387915194368/IxjG7v9L.jpg","View")</f>
        <v>View</v>
      </c>
    </row>
    <row r="1898" spans="1:21" ht="112.2">
      <c r="A1898" s="6">
        <v>43440.868425925924</v>
      </c>
      <c r="B1898" s="7" t="str">
        <f>HYPERLINK("https://twitter.com/PabloGMancha","@PabloGMancha")</f>
        <v>@PabloGMancha</v>
      </c>
      <c r="C1898" s="8" t="s">
        <v>6540</v>
      </c>
      <c r="D1898" s="9" t="s">
        <v>6541</v>
      </c>
      <c r="E1898" s="10" t="str">
        <f>HYPERLINK("https://twitter.com/PabloGMancha/status/1070767464542285824","1070767464542285824")</f>
        <v>1070767464542285824</v>
      </c>
      <c r="F1898" s="11" t="s">
        <v>54</v>
      </c>
      <c r="G1898" s="11" t="s">
        <v>55</v>
      </c>
      <c r="H1898" s="12"/>
      <c r="I1898" s="13">
        <v>0</v>
      </c>
      <c r="J1898" s="13">
        <v>3</v>
      </c>
      <c r="K1898" s="14" t="str">
        <f>HYPERLINK("http://twitter.com/download/iphone","Twitter for iPhone")</f>
        <v>Twitter for iPhone</v>
      </c>
      <c r="L1898" s="13">
        <v>5821</v>
      </c>
      <c r="M1898" s="13">
        <v>799</v>
      </c>
      <c r="N1898" s="13">
        <v>197</v>
      </c>
      <c r="O1898" s="15"/>
      <c r="P1898" s="6">
        <v>39591.571203703701</v>
      </c>
      <c r="Q1898" s="16" t="s">
        <v>6542</v>
      </c>
      <c r="R1898" s="17" t="s">
        <v>6543</v>
      </c>
      <c r="S1898" s="11" t="s">
        <v>6544</v>
      </c>
      <c r="T1898" s="12"/>
      <c r="U1898" s="10" t="str">
        <f>HYPERLINK("https://pbs.twimg.com/profile_images/1066418796003557379/Go9dBK0C.jpg","View")</f>
        <v>View</v>
      </c>
    </row>
    <row r="1899" spans="1:21" ht="40.799999999999997">
      <c r="A1899" s="6">
        <v>43440.867847222224</v>
      </c>
      <c r="B1899" s="7" t="str">
        <f>HYPERLINK("https://twitter.com/pepavivas","@pepavivas")</f>
        <v>@pepavivas</v>
      </c>
      <c r="C1899" s="8" t="s">
        <v>6545</v>
      </c>
      <c r="D1899" s="9" t="s">
        <v>6546</v>
      </c>
      <c r="E1899" s="10" t="str">
        <f>HYPERLINK("https://twitter.com/pepavivas/status/1070767257029132288","1070767257029132288")</f>
        <v>1070767257029132288</v>
      </c>
      <c r="F1899" s="11" t="s">
        <v>246</v>
      </c>
      <c r="G1899" s="12"/>
      <c r="H1899" s="12"/>
      <c r="I1899" s="13">
        <v>1</v>
      </c>
      <c r="J1899" s="13">
        <v>1</v>
      </c>
      <c r="K1899" s="14" t="str">
        <f>HYPERLINK("http://twitter.com/download/android","Twitter for Android")</f>
        <v>Twitter for Android</v>
      </c>
      <c r="L1899" s="13">
        <v>6314</v>
      </c>
      <c r="M1899" s="13">
        <v>4621</v>
      </c>
      <c r="N1899" s="13">
        <v>60</v>
      </c>
      <c r="O1899" s="15"/>
      <c r="P1899" s="6">
        <v>40559.79623842593</v>
      </c>
      <c r="Q1899" s="16" t="s">
        <v>6547</v>
      </c>
      <c r="R1899" s="17" t="s">
        <v>6548</v>
      </c>
      <c r="S1899" s="12"/>
      <c r="T1899" s="12"/>
      <c r="U1899" s="10" t="str">
        <f>HYPERLINK("https://pbs.twimg.com/profile_images/479570691889434624/jpJ1b-HA.png","View")</f>
        <v>View</v>
      </c>
    </row>
    <row r="1900" spans="1:21" ht="20.399999999999999">
      <c r="A1900" s="6">
        <v>43440.866701388892</v>
      </c>
      <c r="B1900" s="7" t="str">
        <f>HYPERLINK("https://twitter.com/catymu2","@catymu2")</f>
        <v>@catymu2</v>
      </c>
      <c r="C1900" s="8" t="s">
        <v>1908</v>
      </c>
      <c r="D1900" s="9" t="s">
        <v>4814</v>
      </c>
      <c r="E1900" s="10" t="str">
        <f>HYPERLINK("https://twitter.com/catymu2/status/1070766840043986944","1070766840043986944")</f>
        <v>1070766840043986944</v>
      </c>
      <c r="F1900" s="11" t="s">
        <v>4815</v>
      </c>
      <c r="G1900" s="12"/>
      <c r="H1900" s="12"/>
      <c r="I1900" s="13">
        <v>0</v>
      </c>
      <c r="J1900" s="13">
        <v>0</v>
      </c>
      <c r="K1900" s="14" t="str">
        <f>HYPERLINK("http://twitter.com","Twitter Web Client")</f>
        <v>Twitter Web Client</v>
      </c>
      <c r="L1900" s="13">
        <v>43</v>
      </c>
      <c r="M1900" s="13">
        <v>129</v>
      </c>
      <c r="N1900" s="13">
        <v>0</v>
      </c>
      <c r="O1900" s="15"/>
      <c r="P1900" s="6">
        <v>42432.456226851849</v>
      </c>
      <c r="Q1900" s="16" t="s">
        <v>60</v>
      </c>
      <c r="R1900" s="19"/>
      <c r="S1900" s="12"/>
      <c r="T1900" s="12"/>
      <c r="U1900" s="10" t="str">
        <f>HYPERLINK("https://pbs.twimg.com/profile_images/1009103258785402882/34q9w8XC.jpg","View")</f>
        <v>View</v>
      </c>
    </row>
    <row r="1901" spans="1:21" ht="40.799999999999997">
      <c r="A1901" s="6">
        <v>43440.866666666669</v>
      </c>
      <c r="B1901" s="7" t="str">
        <f>HYPERLINK("https://twitter.com/NicoBravezo","@NicoBravezo")</f>
        <v>@NicoBravezo</v>
      </c>
      <c r="C1901" s="8" t="s">
        <v>3948</v>
      </c>
      <c r="D1901" s="9" t="s">
        <v>4318</v>
      </c>
      <c r="E1901" s="10" t="str">
        <f>HYPERLINK("https://twitter.com/NicoBravezo/status/1070766828086009857","1070766828086009857")</f>
        <v>1070766828086009857</v>
      </c>
      <c r="F1901" s="11" t="s">
        <v>246</v>
      </c>
      <c r="G1901" s="12"/>
      <c r="H1901" s="12"/>
      <c r="I1901" s="13">
        <v>0</v>
      </c>
      <c r="J1901" s="13">
        <v>0</v>
      </c>
      <c r="K1901" s="14" t="str">
        <f>HYPERLINK("http://twitter.com/download/android","Twitter for Android")</f>
        <v>Twitter for Android</v>
      </c>
      <c r="L1901" s="13">
        <v>197</v>
      </c>
      <c r="M1901" s="13">
        <v>438</v>
      </c>
      <c r="N1901" s="13">
        <v>1</v>
      </c>
      <c r="O1901" s="15"/>
      <c r="P1901" s="6">
        <v>41616.02207175926</v>
      </c>
      <c r="Q1901" s="16" t="s">
        <v>3952</v>
      </c>
      <c r="R1901" s="17" t="s">
        <v>3953</v>
      </c>
      <c r="S1901" s="12"/>
      <c r="T1901" s="12"/>
      <c r="U1901" s="10" t="str">
        <f>HYPERLINK("https://pbs.twimg.com/profile_images/965866612346716160/vGDo-vAb.jpg","View")</f>
        <v>View</v>
      </c>
    </row>
    <row r="1902" spans="1:21" ht="20.399999999999999">
      <c r="A1902" s="6">
        <v>43440.866481481484</v>
      </c>
      <c r="B1902" s="7" t="str">
        <f>HYPERLINK("https://twitter.com/gonzaljo","@gonzaljo")</f>
        <v>@gonzaljo</v>
      </c>
      <c r="C1902" s="8" t="s">
        <v>6549</v>
      </c>
      <c r="D1902" s="9" t="s">
        <v>5749</v>
      </c>
      <c r="E1902" s="10" t="str">
        <f>HYPERLINK("https://twitter.com/gonzaljo/status/1070766759718854656","1070766759718854656")</f>
        <v>1070766759718854656</v>
      </c>
      <c r="F1902" s="11" t="s">
        <v>6550</v>
      </c>
      <c r="G1902" s="12"/>
      <c r="H1902" s="12"/>
      <c r="I1902" s="13">
        <v>0</v>
      </c>
      <c r="J1902" s="13">
        <v>0</v>
      </c>
      <c r="K1902" s="14" t="str">
        <f t="shared" ref="K1902:K1903" si="332">HYPERLINK("http://twitter.com","Twitter Web Client")</f>
        <v>Twitter Web Client</v>
      </c>
      <c r="L1902" s="13">
        <v>1590</v>
      </c>
      <c r="M1902" s="13">
        <v>1541</v>
      </c>
      <c r="N1902" s="13">
        <v>36</v>
      </c>
      <c r="O1902" s="15"/>
      <c r="P1902" s="6">
        <v>40725.905995370369</v>
      </c>
      <c r="Q1902" s="12"/>
      <c r="R1902" s="17" t="s">
        <v>6551</v>
      </c>
      <c r="S1902" s="12"/>
      <c r="T1902" s="12"/>
      <c r="U1902" s="10" t="str">
        <f>HYPERLINK("https://pbs.twimg.com/profile_images/982532196392165376/-gjrnRhy.jpg","View")</f>
        <v>View</v>
      </c>
    </row>
    <row r="1903" spans="1:21" ht="20.399999999999999">
      <c r="A1903" s="6">
        <v>43440.866400462968</v>
      </c>
      <c r="B1903" s="7" t="str">
        <f>HYPERLINK("https://twitter.com/KALERGIPLAN3","@KALERGIPLAN3")</f>
        <v>@KALERGIPLAN3</v>
      </c>
      <c r="C1903" s="8" t="s">
        <v>2481</v>
      </c>
      <c r="D1903" s="9" t="s">
        <v>6135</v>
      </c>
      <c r="E1903" s="10" t="str">
        <f>HYPERLINK("https://twitter.com/KALERGIPLAN3/status/1070766733982646272","1070766733982646272")</f>
        <v>1070766733982646272</v>
      </c>
      <c r="F1903" s="11" t="s">
        <v>6136</v>
      </c>
      <c r="G1903" s="12"/>
      <c r="H1903" s="12"/>
      <c r="I1903" s="13">
        <v>1</v>
      </c>
      <c r="J1903" s="13">
        <v>0</v>
      </c>
      <c r="K1903" s="14" t="str">
        <f t="shared" si="332"/>
        <v>Twitter Web Client</v>
      </c>
      <c r="L1903" s="13">
        <v>759</v>
      </c>
      <c r="M1903" s="13">
        <v>1224</v>
      </c>
      <c r="N1903" s="13">
        <v>4</v>
      </c>
      <c r="O1903" s="15"/>
      <c r="P1903" s="6">
        <v>43126.55405092593</v>
      </c>
      <c r="Q1903" s="16" t="s">
        <v>2484</v>
      </c>
      <c r="R1903" s="17" t="s">
        <v>2485</v>
      </c>
      <c r="S1903" s="12"/>
      <c r="T1903" s="12"/>
      <c r="U1903" s="10" t="str">
        <f>HYPERLINK("https://pbs.twimg.com/profile_images/957285491707121664/UefjbD3b.jpg","View")</f>
        <v>View</v>
      </c>
    </row>
    <row r="1904" spans="1:21" ht="20.399999999999999">
      <c r="A1904" s="6">
        <v>43440.865624999999</v>
      </c>
      <c r="B1904" s="7" t="str">
        <f>HYPERLINK("https://twitter.com/pepeosuna1","@pepeosuna1")</f>
        <v>@pepeosuna1</v>
      </c>
      <c r="C1904" s="8" t="s">
        <v>6552</v>
      </c>
      <c r="D1904" s="9" t="s">
        <v>6553</v>
      </c>
      <c r="E1904" s="10" t="str">
        <f>HYPERLINK("https://twitter.com/pepeosuna1/status/1070766452209303554","1070766452209303554")</f>
        <v>1070766452209303554</v>
      </c>
      <c r="F1904" s="11" t="s">
        <v>6478</v>
      </c>
      <c r="G1904" s="12"/>
      <c r="H1904" s="12"/>
      <c r="I1904" s="13">
        <v>0</v>
      </c>
      <c r="J1904" s="13">
        <v>0</v>
      </c>
      <c r="K1904" s="14" t="str">
        <f>HYPERLINK("http://twitter.com/download/android","Twitter for Android")</f>
        <v>Twitter for Android</v>
      </c>
      <c r="L1904" s="13">
        <v>266</v>
      </c>
      <c r="M1904" s="13">
        <v>263</v>
      </c>
      <c r="N1904" s="13">
        <v>1</v>
      </c>
      <c r="O1904" s="15"/>
      <c r="P1904" s="6">
        <v>42059.664247685185</v>
      </c>
      <c r="Q1904" s="12"/>
      <c r="R1904" s="19"/>
      <c r="S1904" s="12"/>
      <c r="T1904" s="12"/>
      <c r="U1904" s="10" t="str">
        <f>HYPERLINK("https://pbs.twimg.com/profile_images/950124236349329408/vuQ-GmWb.jpg","View")</f>
        <v>View</v>
      </c>
    </row>
    <row r="1905" spans="1:21" ht="30.6">
      <c r="A1905" s="6">
        <v>43440.865543981483</v>
      </c>
      <c r="B1905" s="7" t="str">
        <f>HYPERLINK("https://twitter.com/fdiaz_p","@fdiaz_p")</f>
        <v>@fdiaz_p</v>
      </c>
      <c r="C1905" s="8" t="s">
        <v>3585</v>
      </c>
      <c r="D1905" s="9" t="s">
        <v>6554</v>
      </c>
      <c r="E1905" s="10" t="str">
        <f>HYPERLINK("https://twitter.com/fdiaz_p/status/1070766422073241600","1070766422073241600")</f>
        <v>1070766422073241600</v>
      </c>
      <c r="F1905" s="11" t="s">
        <v>246</v>
      </c>
      <c r="G1905" s="12"/>
      <c r="H1905" s="12"/>
      <c r="I1905" s="13">
        <v>0</v>
      </c>
      <c r="J1905" s="13">
        <v>0</v>
      </c>
      <c r="K1905" s="14" t="str">
        <f>HYPERLINK("http://twitter.com/download/iphone","Twitter for iPhone")</f>
        <v>Twitter for iPhone</v>
      </c>
      <c r="L1905" s="13">
        <v>1025</v>
      </c>
      <c r="M1905" s="13">
        <v>1125</v>
      </c>
      <c r="N1905" s="13">
        <v>20</v>
      </c>
      <c r="O1905" s="15"/>
      <c r="P1905" s="6">
        <v>40922.892210648148</v>
      </c>
      <c r="Q1905" s="16" t="s">
        <v>3588</v>
      </c>
      <c r="R1905" s="17" t="s">
        <v>3589</v>
      </c>
      <c r="S1905" s="11" t="s">
        <v>3590</v>
      </c>
      <c r="T1905" s="12"/>
      <c r="U1905" s="10" t="str">
        <f>HYPERLINK("https://pbs.twimg.com/profile_images/1004080179650625537/GPWzjyZ_.jpg","View")</f>
        <v>View</v>
      </c>
    </row>
    <row r="1906" spans="1:21" ht="51">
      <c r="A1906" s="6">
        <v>43440.86509259259</v>
      </c>
      <c r="B1906" s="7" t="str">
        <f>HYPERLINK("https://twitter.com/Belen_Larioss","@Belen_Larioss")</f>
        <v>@Belen_Larioss</v>
      </c>
      <c r="C1906" s="8" t="s">
        <v>4898</v>
      </c>
      <c r="D1906" s="9" t="s">
        <v>6282</v>
      </c>
      <c r="E1906" s="10" t="str">
        <f>HYPERLINK("https://twitter.com/Belen_Larioss/status/1070766258168217601","1070766258168217601")</f>
        <v>1070766258168217601</v>
      </c>
      <c r="F1906" s="11" t="s">
        <v>246</v>
      </c>
      <c r="G1906" s="12"/>
      <c r="H1906" s="12"/>
      <c r="I1906" s="13">
        <v>4</v>
      </c>
      <c r="J1906" s="13">
        <v>6</v>
      </c>
      <c r="K1906" s="14" t="str">
        <f>HYPERLINK("http://twitter.com/download/android","Twitter for Android")</f>
        <v>Twitter for Android</v>
      </c>
      <c r="L1906" s="13">
        <v>15590</v>
      </c>
      <c r="M1906" s="13">
        <v>13045</v>
      </c>
      <c r="N1906" s="13">
        <v>124</v>
      </c>
      <c r="O1906" s="15"/>
      <c r="P1906" s="6">
        <v>41188.604050925926</v>
      </c>
      <c r="Q1906" s="16" t="s">
        <v>4760</v>
      </c>
      <c r="R1906" s="17" t="s">
        <v>4900</v>
      </c>
      <c r="S1906" s="12"/>
      <c r="T1906" s="12"/>
      <c r="U1906" s="10" t="str">
        <f>HYPERLINK("https://pbs.twimg.com/profile_images/1038728763310317578/yAiv1-A2.jpg","View")</f>
        <v>View</v>
      </c>
    </row>
    <row r="1907" spans="1:21" ht="30.6">
      <c r="A1907" s="6">
        <v>43440.864942129629</v>
      </c>
      <c r="B1907" s="7" t="str">
        <f t="shared" ref="B1907:B1908" si="333">HYPERLINK("https://twitter.com/ChezNieto","@ChezNieto")</f>
        <v>@ChezNieto</v>
      </c>
      <c r="C1907" s="8" t="s">
        <v>42</v>
      </c>
      <c r="D1907" s="9" t="s">
        <v>1514</v>
      </c>
      <c r="E1907" s="10" t="str">
        <f>HYPERLINK("https://twitter.com/ChezNieto/status/1070766204858568705","1070766204858568705")</f>
        <v>1070766204858568705</v>
      </c>
      <c r="F1907" s="11" t="s">
        <v>246</v>
      </c>
      <c r="G1907" s="12"/>
      <c r="H1907" s="12"/>
      <c r="I1907" s="13">
        <v>2</v>
      </c>
      <c r="J1907" s="13">
        <v>1</v>
      </c>
      <c r="K1907" s="14" t="str">
        <f t="shared" ref="K1907:K1908" si="334">HYPERLINK("http://twitter.com","Twitter Web Client")</f>
        <v>Twitter Web Client</v>
      </c>
      <c r="L1907" s="13">
        <v>5087</v>
      </c>
      <c r="M1907" s="13">
        <v>4782</v>
      </c>
      <c r="N1907" s="13">
        <v>50</v>
      </c>
      <c r="O1907" s="15"/>
      <c r="P1907" s="6">
        <v>41341.600729166668</v>
      </c>
      <c r="Q1907" s="16" t="s">
        <v>60</v>
      </c>
      <c r="R1907" s="17" t="s">
        <v>2826</v>
      </c>
      <c r="S1907" s="12"/>
      <c r="T1907" s="12"/>
      <c r="U1907" s="10" t="str">
        <f t="shared" ref="U1907:U1908" si="335">HYPERLINK("https://pbs.twimg.com/profile_images/3750051142/df497636f6b21e0abf733a0e65a50087.jpeg","View")</f>
        <v>View</v>
      </c>
    </row>
    <row r="1908" spans="1:21" ht="40.799999999999997">
      <c r="A1908" s="6">
        <v>43440.864861111113</v>
      </c>
      <c r="B1908" s="7" t="str">
        <f t="shared" si="333"/>
        <v>@ChezNieto</v>
      </c>
      <c r="C1908" s="8" t="s">
        <v>42</v>
      </c>
      <c r="D1908" s="9" t="s">
        <v>6556</v>
      </c>
      <c r="E1908" s="10" t="str">
        <f>HYPERLINK("https://twitter.com/ChezNieto/status/1070766176165396481","1070766176165396481")</f>
        <v>1070766176165396481</v>
      </c>
      <c r="F1908" s="12"/>
      <c r="G1908" s="12"/>
      <c r="H1908" s="12"/>
      <c r="I1908" s="13">
        <v>1</v>
      </c>
      <c r="J1908" s="13">
        <v>2</v>
      </c>
      <c r="K1908" s="14" t="str">
        <f t="shared" si="334"/>
        <v>Twitter Web Client</v>
      </c>
      <c r="L1908" s="13">
        <v>5087</v>
      </c>
      <c r="M1908" s="13">
        <v>4782</v>
      </c>
      <c r="N1908" s="13">
        <v>50</v>
      </c>
      <c r="O1908" s="15"/>
      <c r="P1908" s="6">
        <v>41341.600729166668</v>
      </c>
      <c r="Q1908" s="16" t="s">
        <v>60</v>
      </c>
      <c r="R1908" s="17" t="s">
        <v>2826</v>
      </c>
      <c r="S1908" s="12"/>
      <c r="T1908" s="12"/>
      <c r="U1908" s="10" t="str">
        <f t="shared" si="335"/>
        <v>View</v>
      </c>
    </row>
    <row r="1909" spans="1:21" ht="20.399999999999999">
      <c r="A1909" s="6">
        <v>43440.864780092597</v>
      </c>
      <c r="B1909" s="7" t="str">
        <f>HYPERLINK("https://twitter.com/inalterablecosa","@inalterablecosa")</f>
        <v>@inalterablecosa</v>
      </c>
      <c r="C1909" s="8" t="s">
        <v>5511</v>
      </c>
      <c r="D1909" s="9" t="s">
        <v>6557</v>
      </c>
      <c r="E1909" s="10" t="str">
        <f>HYPERLINK("https://twitter.com/inalterablecosa/status/1070766145521807361","1070766145521807361")</f>
        <v>1070766145521807361</v>
      </c>
      <c r="F1909" s="11" t="s">
        <v>3202</v>
      </c>
      <c r="G1909" s="12"/>
      <c r="H1909" s="12"/>
      <c r="I1909" s="13">
        <v>0</v>
      </c>
      <c r="J1909" s="13">
        <v>0</v>
      </c>
      <c r="K1909" s="14" t="str">
        <f>HYPERLINK("https://buffer.com","Buffer")</f>
        <v>Buffer</v>
      </c>
      <c r="L1909" s="13">
        <v>9419</v>
      </c>
      <c r="M1909" s="13">
        <v>7466</v>
      </c>
      <c r="N1909" s="13">
        <v>54</v>
      </c>
      <c r="O1909" s="15"/>
      <c r="P1909" s="6">
        <v>42021.491030092591</v>
      </c>
      <c r="Q1909" s="16" t="s">
        <v>4335</v>
      </c>
      <c r="R1909" s="17" t="s">
        <v>5513</v>
      </c>
      <c r="S1909" s="12"/>
      <c r="T1909" s="12"/>
      <c r="U1909" s="10" t="str">
        <f>HYPERLINK("https://pbs.twimg.com/profile_images/803657897729294337/OYR4fkJ2.jpg","View")</f>
        <v>View</v>
      </c>
    </row>
    <row r="1910" spans="1:21" ht="40.799999999999997">
      <c r="A1910" s="6">
        <v>43440.864652777775</v>
      </c>
      <c r="B1910" s="7" t="str">
        <f>HYPERLINK("https://twitter.com/lextresabogados","@lextresabogados")</f>
        <v>@lextresabogados</v>
      </c>
      <c r="C1910" s="8" t="s">
        <v>226</v>
      </c>
      <c r="D1910" s="9" t="s">
        <v>1791</v>
      </c>
      <c r="E1910" s="10" t="str">
        <f>HYPERLINK("https://twitter.com/lextresabogados/status/1070766100588257281","1070766100588257281")</f>
        <v>1070766100588257281</v>
      </c>
      <c r="F1910" s="11" t="s">
        <v>6558</v>
      </c>
      <c r="G1910" s="12"/>
      <c r="H1910" s="12"/>
      <c r="I1910" s="13">
        <v>2</v>
      </c>
      <c r="J1910" s="13">
        <v>2</v>
      </c>
      <c r="K1910" s="14" t="str">
        <f>HYPERLINK("http://35.180.36.179","botize nueva")</f>
        <v>botize nueva</v>
      </c>
      <c r="L1910" s="13">
        <v>2912</v>
      </c>
      <c r="M1910" s="13">
        <v>3525</v>
      </c>
      <c r="N1910" s="13">
        <v>26</v>
      </c>
      <c r="O1910" s="15"/>
      <c r="P1910" s="6">
        <v>42880.770949074074</v>
      </c>
      <c r="Q1910" s="16" t="s">
        <v>230</v>
      </c>
      <c r="R1910" s="17" t="s">
        <v>231</v>
      </c>
      <c r="S1910" s="11" t="s">
        <v>232</v>
      </c>
      <c r="T1910" s="12"/>
      <c r="U1910" s="10" t="str">
        <f>HYPERLINK("https://pbs.twimg.com/profile_images/1068056978679898113/YnjKwiVy.jpg","View")</f>
        <v>View</v>
      </c>
    </row>
    <row r="1911" spans="1:21" ht="30.6">
      <c r="A1911" s="6">
        <v>43440.864618055552</v>
      </c>
      <c r="B1911" s="7" t="str">
        <f>HYPERLINK("https://twitter.com/Plitusaf","@Plitusaf")</f>
        <v>@Plitusaf</v>
      </c>
      <c r="C1911" s="8" t="s">
        <v>22</v>
      </c>
      <c r="D1911" s="9" t="s">
        <v>1514</v>
      </c>
      <c r="E1911" s="10" t="str">
        <f>HYPERLINK("https://twitter.com/Plitusaf/status/1070766085727768577","1070766085727768577")</f>
        <v>1070766085727768577</v>
      </c>
      <c r="F1911" s="11" t="s">
        <v>246</v>
      </c>
      <c r="G1911" s="12"/>
      <c r="H1911" s="12"/>
      <c r="I1911" s="13">
        <v>0</v>
      </c>
      <c r="J1911" s="13">
        <v>0</v>
      </c>
      <c r="K1911" s="14" t="str">
        <f>HYPERLINK("http://twitter.com","Twitter Web Client")</f>
        <v>Twitter Web Client</v>
      </c>
      <c r="L1911" s="13">
        <v>402</v>
      </c>
      <c r="M1911" s="13">
        <v>605</v>
      </c>
      <c r="N1911" s="13">
        <v>3</v>
      </c>
      <c r="O1911" s="15"/>
      <c r="P1911" s="6">
        <v>40567.567685185189</v>
      </c>
      <c r="Q1911" s="16" t="s">
        <v>26</v>
      </c>
      <c r="R1911" s="19"/>
      <c r="S1911" s="12"/>
      <c r="T1911" s="12"/>
      <c r="U1911" s="18" t="s">
        <v>67</v>
      </c>
    </row>
    <row r="1912" spans="1:21" ht="40.799999999999997">
      <c r="A1912" s="6">
        <v>43440.864490740743</v>
      </c>
      <c r="B1912" s="7" t="str">
        <f>HYPERLINK("https://twitter.com/alvaritooo2","@alvaritooo2")</f>
        <v>@alvaritooo2</v>
      </c>
      <c r="C1912" s="8" t="s">
        <v>6559</v>
      </c>
      <c r="D1912" s="9" t="s">
        <v>6560</v>
      </c>
      <c r="E1912" s="10" t="str">
        <f>HYPERLINK("https://twitter.com/alvaritooo2/status/1070766040953602048","1070766040953602048")</f>
        <v>1070766040953602048</v>
      </c>
      <c r="F1912" s="12"/>
      <c r="G1912" s="11" t="s">
        <v>6561</v>
      </c>
      <c r="H1912" s="12"/>
      <c r="I1912" s="13">
        <v>30</v>
      </c>
      <c r="J1912" s="13">
        <v>35</v>
      </c>
      <c r="K1912" s="14" t="str">
        <f t="shared" ref="K1912:K1914" si="336">HYPERLINK("http://twitter.com/download/iphone","Twitter for iPhone")</f>
        <v>Twitter for iPhone</v>
      </c>
      <c r="L1912" s="13">
        <v>18399</v>
      </c>
      <c r="M1912" s="13">
        <v>16690</v>
      </c>
      <c r="N1912" s="13">
        <v>132</v>
      </c>
      <c r="O1912" s="15"/>
      <c r="P1912" s="6">
        <v>40675.864861111113</v>
      </c>
      <c r="Q1912" s="16" t="s">
        <v>6562</v>
      </c>
      <c r="R1912" s="17" t="s">
        <v>6563</v>
      </c>
      <c r="S1912" s="12"/>
      <c r="T1912" s="12"/>
      <c r="U1912" s="10" t="str">
        <f>HYPERLINK("https://pbs.twimg.com/profile_images/1070033628720181248/WnlZJV3w.jpg","View")</f>
        <v>View</v>
      </c>
    </row>
    <row r="1913" spans="1:21" ht="51">
      <c r="A1913" s="6">
        <v>43440.864027777774</v>
      </c>
      <c r="B1913" s="7" t="str">
        <f>HYPERLINK("https://twitter.com/bugallego","@bugallego")</f>
        <v>@bugallego</v>
      </c>
      <c r="C1913" s="8" t="s">
        <v>846</v>
      </c>
      <c r="D1913" s="9" t="s">
        <v>6564</v>
      </c>
      <c r="E1913" s="10" t="str">
        <f>HYPERLINK("https://twitter.com/bugallego/status/1070765871990272000","1070765871990272000")</f>
        <v>1070765871990272000</v>
      </c>
      <c r="F1913" s="12"/>
      <c r="G1913" s="12"/>
      <c r="H1913" s="12"/>
      <c r="I1913" s="13">
        <v>0</v>
      </c>
      <c r="J1913" s="13">
        <v>0</v>
      </c>
      <c r="K1913" s="14" t="str">
        <f t="shared" si="336"/>
        <v>Twitter for iPhone</v>
      </c>
      <c r="L1913" s="13">
        <v>896</v>
      </c>
      <c r="M1913" s="13">
        <v>2078</v>
      </c>
      <c r="N1913" s="13">
        <v>48</v>
      </c>
      <c r="O1913" s="15"/>
      <c r="P1913" s="6">
        <v>41268.588877314818</v>
      </c>
      <c r="Q1913" s="16" t="s">
        <v>848</v>
      </c>
      <c r="R1913" s="19"/>
      <c r="S1913" s="12"/>
      <c r="T1913" s="12"/>
      <c r="U1913" s="10" t="str">
        <f>HYPERLINK("https://pbs.twimg.com/profile_images/649499656670564352/wMuIX5o7.jpg","View")</f>
        <v>View</v>
      </c>
    </row>
    <row r="1914" spans="1:21" ht="30.6">
      <c r="A1914" s="6">
        <v>43440.863344907411</v>
      </c>
      <c r="B1914" s="7" t="str">
        <f>HYPERLINK("https://twitter.com/Esther26545599","@Esther26545599")</f>
        <v>@Esther26545599</v>
      </c>
      <c r="C1914" s="8" t="s">
        <v>6427</v>
      </c>
      <c r="D1914" s="9" t="s">
        <v>6567</v>
      </c>
      <c r="E1914" s="10" t="str">
        <f>HYPERLINK("https://twitter.com/Esther26545599/status/1070765624685662209","1070765624685662209")</f>
        <v>1070765624685662209</v>
      </c>
      <c r="F1914" s="12"/>
      <c r="G1914" s="12"/>
      <c r="H1914" s="12"/>
      <c r="I1914" s="13">
        <v>0</v>
      </c>
      <c r="J1914" s="13">
        <v>2</v>
      </c>
      <c r="K1914" s="14" t="str">
        <f t="shared" si="336"/>
        <v>Twitter for iPhone</v>
      </c>
      <c r="L1914" s="13">
        <v>828</v>
      </c>
      <c r="M1914" s="13">
        <v>1475</v>
      </c>
      <c r="N1914" s="13">
        <v>2</v>
      </c>
      <c r="O1914" s="15"/>
      <c r="P1914" s="6">
        <v>42930.520555555559</v>
      </c>
      <c r="Q1914" s="16" t="s">
        <v>6430</v>
      </c>
      <c r="R1914" s="19"/>
      <c r="S1914" s="12"/>
      <c r="T1914" s="12"/>
      <c r="U1914" s="10" t="str">
        <f>HYPERLINK("https://pbs.twimg.com/profile_images/885810296484450304/iNnoYVrw.jpg","View")</f>
        <v>View</v>
      </c>
    </row>
    <row r="1915" spans="1:21" ht="20.399999999999999">
      <c r="A1915" s="6">
        <v>43440.863067129627</v>
      </c>
      <c r="B1915" s="7" t="str">
        <f>HYPERLINK("https://twitter.com/FranRoGrande","@FranRoGrande")</f>
        <v>@FranRoGrande</v>
      </c>
      <c r="C1915" s="8" t="s">
        <v>6568</v>
      </c>
      <c r="D1915" s="9" t="s">
        <v>6569</v>
      </c>
      <c r="E1915" s="10" t="str">
        <f>HYPERLINK("https://twitter.com/FranRoGrande/status/1070765522197864448","1070765522197864448")</f>
        <v>1070765522197864448</v>
      </c>
      <c r="F1915" s="11" t="s">
        <v>467</v>
      </c>
      <c r="G1915" s="12"/>
      <c r="H1915" s="12"/>
      <c r="I1915" s="13">
        <v>0</v>
      </c>
      <c r="J1915" s="13">
        <v>0</v>
      </c>
      <c r="K1915" s="14" t="str">
        <f t="shared" ref="K1915:K1916" si="337">HYPERLINK("http://twitter.com","Twitter Web Client")</f>
        <v>Twitter Web Client</v>
      </c>
      <c r="L1915" s="13">
        <v>645</v>
      </c>
      <c r="M1915" s="13">
        <v>1513</v>
      </c>
      <c r="N1915" s="13">
        <v>3</v>
      </c>
      <c r="O1915" s="15"/>
      <c r="P1915" s="6">
        <v>42316.801284722227</v>
      </c>
      <c r="Q1915" s="12"/>
      <c r="R1915" s="19"/>
      <c r="S1915" s="12"/>
      <c r="T1915" s="12"/>
      <c r="U1915" s="10" t="str">
        <f>HYPERLINK("https://pbs.twimg.com/profile_images/663420126251900928/Y9O6LdO5.jpg","View")</f>
        <v>View</v>
      </c>
    </row>
    <row r="1916" spans="1:21" ht="30.6">
      <c r="A1916" s="6">
        <v>43440.863043981481</v>
      </c>
      <c r="B1916" s="7" t="str">
        <f>HYPERLINK("https://twitter.com/mariacasgar","@mariacasgar")</f>
        <v>@mariacasgar</v>
      </c>
      <c r="C1916" s="8" t="s">
        <v>682</v>
      </c>
      <c r="D1916" s="9" t="s">
        <v>1514</v>
      </c>
      <c r="E1916" s="10" t="str">
        <f>HYPERLINK("https://twitter.com/mariacasgar/status/1070765515952570374","1070765515952570374")</f>
        <v>1070765515952570374</v>
      </c>
      <c r="F1916" s="11" t="s">
        <v>246</v>
      </c>
      <c r="G1916" s="12"/>
      <c r="H1916" s="12"/>
      <c r="I1916" s="13">
        <v>0</v>
      </c>
      <c r="J1916" s="13">
        <v>1</v>
      </c>
      <c r="K1916" s="14" t="str">
        <f t="shared" si="337"/>
        <v>Twitter Web Client</v>
      </c>
      <c r="L1916" s="13">
        <v>1723</v>
      </c>
      <c r="M1916" s="13">
        <v>1844</v>
      </c>
      <c r="N1916" s="13">
        <v>26</v>
      </c>
      <c r="O1916" s="15"/>
      <c r="P1916" s="6">
        <v>41056.092916666668</v>
      </c>
      <c r="Q1916" s="12"/>
      <c r="R1916" s="17" t="s">
        <v>683</v>
      </c>
      <c r="S1916" s="12"/>
      <c r="T1916" s="12"/>
      <c r="U1916" s="10" t="str">
        <f>HYPERLINK("https://pbs.twimg.com/profile_images/1009151242151620608/qZ8O3VIa.jpg","View")</f>
        <v>View</v>
      </c>
    </row>
    <row r="1917" spans="1:21" ht="30.6">
      <c r="A1917" s="6">
        <v>43440.862962962958</v>
      </c>
      <c r="B1917" s="7" t="str">
        <f>HYPERLINK("https://twitter.com/MARACAY24HRS","@MARACAY24HRS")</f>
        <v>@MARACAY24HRS</v>
      </c>
      <c r="C1917" s="8" t="s">
        <v>6570</v>
      </c>
      <c r="D1917" s="9" t="s">
        <v>6571</v>
      </c>
      <c r="E1917" s="10" t="str">
        <f>HYPERLINK("https://twitter.com/MARACAY24HRS/status/1070765485363359744","1070765485363359744")</f>
        <v>1070765485363359744</v>
      </c>
      <c r="F1917" s="11" t="s">
        <v>6572</v>
      </c>
      <c r="G1917" s="12"/>
      <c r="H1917" s="12"/>
      <c r="I1917" s="13">
        <v>0</v>
      </c>
      <c r="J1917" s="13">
        <v>0</v>
      </c>
      <c r="K1917" s="14" t="str">
        <f>HYPERLINK("https://dlvrit.com/","dlvr.it")</f>
        <v>dlvr.it</v>
      </c>
      <c r="L1917" s="13">
        <v>8273</v>
      </c>
      <c r="M1917" s="13">
        <v>7026</v>
      </c>
      <c r="N1917" s="13">
        <v>51</v>
      </c>
      <c r="O1917" s="15"/>
      <c r="P1917" s="6">
        <v>40968.033148148148</v>
      </c>
      <c r="Q1917" s="16" t="s">
        <v>6573</v>
      </c>
      <c r="R1917" s="17" t="s">
        <v>6574</v>
      </c>
      <c r="S1917" s="12"/>
      <c r="T1917" s="12"/>
      <c r="U1917" s="10" t="str">
        <f>HYPERLINK("https://pbs.twimg.com/profile_images/3154547769/6429525b9fba326a60ab0010d2fb154d.jpeg","View")</f>
        <v>View</v>
      </c>
    </row>
    <row r="1918" spans="1:21" ht="30.6">
      <c r="A1918" s="6">
        <v>43440.862500000003</v>
      </c>
      <c r="B1918" s="7" t="str">
        <f>HYPERLINK("https://twitter.com/joineurosec","@joineurosec")</f>
        <v>@joineurosec</v>
      </c>
      <c r="C1918" s="8" t="s">
        <v>6575</v>
      </c>
      <c r="D1918" s="9" t="s">
        <v>1514</v>
      </c>
      <c r="E1918" s="10" t="str">
        <f>HYPERLINK("https://twitter.com/joineurosec/status/1070765320112128001","1070765320112128001")</f>
        <v>1070765320112128001</v>
      </c>
      <c r="F1918" s="11" t="s">
        <v>246</v>
      </c>
      <c r="G1918" s="12"/>
      <c r="H1918" s="12"/>
      <c r="I1918" s="13">
        <v>0</v>
      </c>
      <c r="J1918" s="13">
        <v>0</v>
      </c>
      <c r="K1918" s="14" t="str">
        <f t="shared" ref="K1918:K1919" si="338">HYPERLINK("http://twitter.com","Twitter Web Client")</f>
        <v>Twitter Web Client</v>
      </c>
      <c r="L1918" s="13">
        <v>380</v>
      </c>
      <c r="M1918" s="13">
        <v>845</v>
      </c>
      <c r="N1918" s="13">
        <v>9</v>
      </c>
      <c r="O1918" s="15"/>
      <c r="P1918" s="6">
        <v>41695.342453703706</v>
      </c>
      <c r="Q1918" s="16" t="s">
        <v>6576</v>
      </c>
      <c r="R1918" s="17" t="s">
        <v>6577</v>
      </c>
      <c r="S1918" s="12"/>
      <c r="T1918" s="12"/>
      <c r="U1918" s="10" t="str">
        <f>HYPERLINK("https://pbs.twimg.com/profile_images/1058365454853509121/Sti1PYX5.jpg","View")</f>
        <v>View</v>
      </c>
    </row>
    <row r="1919" spans="1:21" ht="40.799999999999997">
      <c r="A1919" s="6">
        <v>43440.862199074079</v>
      </c>
      <c r="B1919" s="7" t="str">
        <f>HYPERLINK("https://twitter.com/marylouiseguia","@marylouiseguia")</f>
        <v>@marylouiseguia</v>
      </c>
      <c r="C1919" s="8" t="s">
        <v>6047</v>
      </c>
      <c r="D1919" s="9" t="s">
        <v>6578</v>
      </c>
      <c r="E1919" s="10" t="str">
        <f>HYPERLINK("https://twitter.com/marylouiseguia/status/1070765208413573120","1070765208413573120")</f>
        <v>1070765208413573120</v>
      </c>
      <c r="F1919" s="11" t="s">
        <v>246</v>
      </c>
      <c r="G1919" s="12"/>
      <c r="H1919" s="12"/>
      <c r="I1919" s="13">
        <v>0</v>
      </c>
      <c r="J1919" s="13">
        <v>0</v>
      </c>
      <c r="K1919" s="14" t="str">
        <f t="shared" si="338"/>
        <v>Twitter Web Client</v>
      </c>
      <c r="L1919" s="13">
        <v>32</v>
      </c>
      <c r="M1919" s="13">
        <v>162</v>
      </c>
      <c r="N1919" s="13">
        <v>0</v>
      </c>
      <c r="O1919" s="15"/>
      <c r="P1919" s="6">
        <v>40147.729988425926</v>
      </c>
      <c r="Q1919" s="16" t="s">
        <v>6050</v>
      </c>
      <c r="R1919" s="17" t="s">
        <v>6051</v>
      </c>
      <c r="S1919" s="12"/>
      <c r="T1919" s="12"/>
      <c r="U1919" s="10" t="str">
        <f>HYPERLINK("https://pbs.twimg.com/profile_images/551830987/maria1.jpg","View")</f>
        <v>View</v>
      </c>
    </row>
    <row r="1920" spans="1:21" ht="91.8">
      <c r="A1920" s="6">
        <v>43440.862199074079</v>
      </c>
      <c r="B1920" s="7" t="str">
        <f>HYPERLINK("https://twitter.com/universalsevil1","@universalsevil1")</f>
        <v>@universalsevil1</v>
      </c>
      <c r="C1920" s="8" t="s">
        <v>1078</v>
      </c>
      <c r="D1920" s="9" t="s">
        <v>6579</v>
      </c>
      <c r="E1920" s="10" t="str">
        <f>HYPERLINK("https://twitter.com/universalsevil1/status/1070765208283570176","1070765208283570176")</f>
        <v>1070765208283570176</v>
      </c>
      <c r="F1920" s="11" t="s">
        <v>6580</v>
      </c>
      <c r="G1920" s="11" t="s">
        <v>6581</v>
      </c>
      <c r="H1920" s="12"/>
      <c r="I1920" s="13">
        <v>0</v>
      </c>
      <c r="J1920" s="13">
        <v>0</v>
      </c>
      <c r="K1920" s="14" t="str">
        <f>HYPERLINK("http://twitter.com/download/android","Twitter for Android")</f>
        <v>Twitter for Android</v>
      </c>
      <c r="L1920" s="13">
        <v>412</v>
      </c>
      <c r="M1920" s="13">
        <v>694</v>
      </c>
      <c r="N1920" s="13">
        <v>7</v>
      </c>
      <c r="O1920" s="15"/>
      <c r="P1920" s="6">
        <v>42373.857349537036</v>
      </c>
      <c r="Q1920" s="12"/>
      <c r="R1920" s="19"/>
      <c r="S1920" s="12"/>
      <c r="T1920" s="12"/>
      <c r="U1920" s="10" t="str">
        <f>HYPERLINK("https://pbs.twimg.com/profile_images/990336265085177857/jUe7wYwz.jpg","View")</f>
        <v>View</v>
      </c>
    </row>
    <row r="1921" spans="1:21" ht="30.6">
      <c r="A1921" s="6">
        <v>43440.861631944441</v>
      </c>
      <c r="B1921" s="7" t="str">
        <f>HYPERLINK("https://twitter.com/Todasesascosas","@Todasesascosas")</f>
        <v>@Todasesascosas</v>
      </c>
      <c r="C1921" s="8" t="s">
        <v>6582</v>
      </c>
      <c r="D1921" s="9" t="s">
        <v>6583</v>
      </c>
      <c r="E1921" s="10" t="str">
        <f>HYPERLINK("https://twitter.com/Todasesascosas/status/1070765005220528128","1070765005220528128")</f>
        <v>1070765005220528128</v>
      </c>
      <c r="F1921" s="12"/>
      <c r="G1921" s="12"/>
      <c r="H1921" s="12"/>
      <c r="I1921" s="13">
        <v>0</v>
      </c>
      <c r="J1921" s="13">
        <v>2</v>
      </c>
      <c r="K1921" s="14" t="str">
        <f>HYPERLINK("http://twitter.com/download/iphone","Twitter for iPhone")</f>
        <v>Twitter for iPhone</v>
      </c>
      <c r="L1921" s="13">
        <v>1663</v>
      </c>
      <c r="M1921" s="13">
        <v>863</v>
      </c>
      <c r="N1921" s="13">
        <v>20</v>
      </c>
      <c r="O1921" s="15"/>
      <c r="P1921" s="6">
        <v>41206.880590277782</v>
      </c>
      <c r="Q1921" s="12"/>
      <c r="R1921" s="17" t="s">
        <v>6584</v>
      </c>
      <c r="S1921" s="12"/>
      <c r="T1921" s="12"/>
      <c r="U1921" s="10" t="str">
        <f>HYPERLINK("https://pbs.twimg.com/profile_images/1037574653936656384/ZHMxjyUp.jpg","View")</f>
        <v>View</v>
      </c>
    </row>
    <row r="1922" spans="1:21" ht="30.6">
      <c r="A1922" s="6">
        <v>43440.861168981486</v>
      </c>
      <c r="B1922" s="7" t="str">
        <f>HYPERLINK("https://twitter.com/libertaddigital","@libertaddigital")</f>
        <v>@libertaddigital</v>
      </c>
      <c r="C1922" s="8" t="s">
        <v>730</v>
      </c>
      <c r="D1922" s="9" t="s">
        <v>1791</v>
      </c>
      <c r="E1922" s="10" t="str">
        <f>HYPERLINK("https://twitter.com/libertaddigital/status/1070764838387769344","1070764838387769344")</f>
        <v>1070764838387769344</v>
      </c>
      <c r="F1922" s="11" t="s">
        <v>6558</v>
      </c>
      <c r="G1922" s="12"/>
      <c r="H1922" s="12"/>
      <c r="I1922" s="13">
        <v>1042</v>
      </c>
      <c r="J1922" s="13">
        <v>1184</v>
      </c>
      <c r="K1922" s="14" t="str">
        <f>HYPERLINK("https://dlvrit.com/","dlvr.it")</f>
        <v>dlvr.it</v>
      </c>
      <c r="L1922" s="13">
        <v>126266</v>
      </c>
      <c r="M1922" s="13">
        <v>562</v>
      </c>
      <c r="N1922" s="13">
        <v>2379</v>
      </c>
      <c r="O1922" s="18" t="s">
        <v>41</v>
      </c>
      <c r="P1922" s="6">
        <v>39899.727141203708</v>
      </c>
      <c r="Q1922" s="16" t="s">
        <v>200</v>
      </c>
      <c r="R1922" s="17" t="s">
        <v>733</v>
      </c>
      <c r="S1922" s="11" t="s">
        <v>734</v>
      </c>
      <c r="T1922" s="12"/>
      <c r="U1922" s="10" t="str">
        <f>HYPERLINK("https://pbs.twimg.com/profile_images/913700935603499008/ifTjXKGZ.jpg","View")</f>
        <v>View</v>
      </c>
    </row>
    <row r="1923" spans="1:21" ht="20.399999999999999">
      <c r="A1923" s="6">
        <v>43440.860891203702</v>
      </c>
      <c r="B1923" s="7" t="str">
        <f>HYPERLINK("https://twitter.com/Trompeta36","@Trompeta36")</f>
        <v>@Trompeta36</v>
      </c>
      <c r="C1923" s="8" t="s">
        <v>3855</v>
      </c>
      <c r="D1923" s="9" t="s">
        <v>6585</v>
      </c>
      <c r="E1923" s="10" t="str">
        <f>HYPERLINK("https://twitter.com/Trompeta36/status/1070764736390811653","1070764736390811653")</f>
        <v>1070764736390811653</v>
      </c>
      <c r="F1923" s="11" t="s">
        <v>6586</v>
      </c>
      <c r="G1923" s="12"/>
      <c r="H1923" s="12"/>
      <c r="I1923" s="13">
        <v>0</v>
      </c>
      <c r="J1923" s="13">
        <v>0</v>
      </c>
      <c r="K1923" s="14" t="str">
        <f>HYPERLINK("http://www.facebook.com/twitter","Facebook")</f>
        <v>Facebook</v>
      </c>
      <c r="L1923" s="13">
        <v>2244</v>
      </c>
      <c r="M1923" s="13">
        <v>2948</v>
      </c>
      <c r="N1923" s="13">
        <v>21</v>
      </c>
      <c r="O1923" s="15"/>
      <c r="P1923" s="6">
        <v>40835.551631944443</v>
      </c>
      <c r="Q1923" s="16" t="s">
        <v>3858</v>
      </c>
      <c r="R1923" s="17" t="s">
        <v>3859</v>
      </c>
      <c r="S1923" s="12"/>
      <c r="T1923" s="12"/>
      <c r="U1923" s="10" t="str">
        <f>HYPERLINK("https://pbs.twimg.com/profile_images/723132334489346048/JJaObwC9.jpg","View")</f>
        <v>View</v>
      </c>
    </row>
    <row r="1924" spans="1:21" ht="40.799999999999997">
      <c r="A1924" s="6">
        <v>43440.860856481479</v>
      </c>
      <c r="B1924" s="7" t="str">
        <f>HYPERLINK("https://twitter.com/marsicilia","@marsicilia")</f>
        <v>@marsicilia</v>
      </c>
      <c r="C1924" s="8" t="s">
        <v>6587</v>
      </c>
      <c r="D1924" s="9" t="s">
        <v>1514</v>
      </c>
      <c r="E1924" s="10" t="str">
        <f>HYPERLINK("https://twitter.com/marsicilia/status/1070764724617441281","1070764724617441281")</f>
        <v>1070764724617441281</v>
      </c>
      <c r="F1924" s="11" t="s">
        <v>246</v>
      </c>
      <c r="G1924" s="12"/>
      <c r="H1924" s="12"/>
      <c r="I1924" s="13">
        <v>1</v>
      </c>
      <c r="J1924" s="13">
        <v>0</v>
      </c>
      <c r="K1924" s="14" t="str">
        <f>HYPERLINK("http://twitter.com/download/android","Twitter for Android")</f>
        <v>Twitter for Android</v>
      </c>
      <c r="L1924" s="13">
        <v>2161</v>
      </c>
      <c r="M1924" s="13">
        <v>2015</v>
      </c>
      <c r="N1924" s="13">
        <v>41</v>
      </c>
      <c r="O1924" s="15"/>
      <c r="P1924" s="6">
        <v>40303.644687499997</v>
      </c>
      <c r="Q1924" s="16" t="s">
        <v>6588</v>
      </c>
      <c r="R1924" s="17" t="s">
        <v>6589</v>
      </c>
      <c r="S1924" s="12"/>
      <c r="T1924" s="12"/>
      <c r="U1924" s="10" t="str">
        <f>HYPERLINK("https://pbs.twimg.com/profile_images/497473662476627969/3L8sV64o.jpeg","View")</f>
        <v>View</v>
      </c>
    </row>
    <row r="1925" spans="1:21" ht="30.6">
      <c r="A1925" s="6">
        <v>43440.860509259262</v>
      </c>
      <c r="B1925" s="7" t="str">
        <f>HYPERLINK("https://twitter.com/dalsanto22","@dalsanto22")</f>
        <v>@dalsanto22</v>
      </c>
      <c r="C1925" s="8" t="s">
        <v>6342</v>
      </c>
      <c r="D1925" s="9" t="s">
        <v>6343</v>
      </c>
      <c r="E1925" s="10" t="str">
        <f>HYPERLINK("https://twitter.com/dalsanto22/status/1070764597731344384","1070764597731344384")</f>
        <v>1070764597731344384</v>
      </c>
      <c r="F1925" s="11" t="s">
        <v>246</v>
      </c>
      <c r="G1925" s="12"/>
      <c r="H1925" s="12"/>
      <c r="I1925" s="13">
        <v>0</v>
      </c>
      <c r="J1925" s="13">
        <v>0</v>
      </c>
      <c r="K1925" s="14" t="str">
        <f t="shared" ref="K1925:K1927" si="339">HYPERLINK("http://twitter.com","Twitter Web Client")</f>
        <v>Twitter Web Client</v>
      </c>
      <c r="L1925" s="13">
        <v>898</v>
      </c>
      <c r="M1925" s="13">
        <v>837</v>
      </c>
      <c r="N1925" s="13">
        <v>7</v>
      </c>
      <c r="O1925" s="15"/>
      <c r="P1925" s="6">
        <v>41781.447013888886</v>
      </c>
      <c r="Q1925" s="16" t="s">
        <v>200</v>
      </c>
      <c r="R1925" s="19"/>
      <c r="S1925" s="12"/>
      <c r="T1925" s="12"/>
      <c r="U1925" s="10" t="str">
        <f>HYPERLINK("https://pbs.twimg.com/profile_images/486429688034648064/Tm8XCGeR.png","View")</f>
        <v>View</v>
      </c>
    </row>
    <row r="1926" spans="1:21" ht="71.400000000000006">
      <c r="A1926" s="6">
        <v>43440.860231481478</v>
      </c>
      <c r="B1926" s="7" t="str">
        <f>HYPERLINK("https://twitter.com/ColmenarejoVox","@ColmenarejoVox")</f>
        <v>@ColmenarejoVox</v>
      </c>
      <c r="C1926" s="8" t="s">
        <v>6590</v>
      </c>
      <c r="D1926" s="9" t="s">
        <v>6591</v>
      </c>
      <c r="E1926" s="10" t="str">
        <f>HYPERLINK("https://twitter.com/ColmenarejoVox/status/1070764496115957760","1070764496115957760")</f>
        <v>1070764496115957760</v>
      </c>
      <c r="F1926" s="11" t="s">
        <v>6592</v>
      </c>
      <c r="G1926" s="11" t="s">
        <v>6593</v>
      </c>
      <c r="H1926" s="12"/>
      <c r="I1926" s="13">
        <v>0</v>
      </c>
      <c r="J1926" s="13">
        <v>0</v>
      </c>
      <c r="K1926" s="14" t="str">
        <f t="shared" si="339"/>
        <v>Twitter Web Client</v>
      </c>
      <c r="L1926" s="13">
        <v>49</v>
      </c>
      <c r="M1926" s="13">
        <v>80</v>
      </c>
      <c r="N1926" s="13">
        <v>0</v>
      </c>
      <c r="O1926" s="15"/>
      <c r="P1926" s="6">
        <v>43425.785879629635</v>
      </c>
      <c r="Q1926" s="16" t="s">
        <v>6594</v>
      </c>
      <c r="R1926" s="17" t="s">
        <v>6595</v>
      </c>
      <c r="S1926" s="12"/>
      <c r="T1926" s="12"/>
      <c r="U1926" s="10" t="str">
        <f>HYPERLINK("https://pbs.twimg.com/profile_images/1065303342451179521/Zt4tm3EB.jpg","View")</f>
        <v>View</v>
      </c>
    </row>
    <row r="1927" spans="1:21" ht="61.2">
      <c r="A1927" s="6">
        <v>43440.860046296293</v>
      </c>
      <c r="B1927" s="7" t="str">
        <f>HYPERLINK("https://twitter.com/lomascuriosoya","@lomascuriosoya")</f>
        <v>@lomascuriosoya</v>
      </c>
      <c r="C1927" s="8" t="s">
        <v>6596</v>
      </c>
      <c r="D1927" s="9" t="s">
        <v>6597</v>
      </c>
      <c r="E1927" s="10" t="str">
        <f>HYPERLINK("https://twitter.com/lomascuriosoya/status/1070764431590727680","1070764431590727680")</f>
        <v>1070764431590727680</v>
      </c>
      <c r="F1927" s="11" t="s">
        <v>6371</v>
      </c>
      <c r="G1927" s="11" t="s">
        <v>6372</v>
      </c>
      <c r="H1927" s="12"/>
      <c r="I1927" s="13">
        <v>0</v>
      </c>
      <c r="J1927" s="13">
        <v>0</v>
      </c>
      <c r="K1927" s="14" t="str">
        <f t="shared" si="339"/>
        <v>Twitter Web Client</v>
      </c>
      <c r="L1927" s="13">
        <v>510</v>
      </c>
      <c r="M1927" s="13">
        <v>773</v>
      </c>
      <c r="N1927" s="13">
        <v>0</v>
      </c>
      <c r="O1927" s="15"/>
      <c r="P1927" s="6">
        <v>42974.664733796293</v>
      </c>
      <c r="Q1927" s="12"/>
      <c r="R1927" s="17" t="s">
        <v>6598</v>
      </c>
      <c r="S1927" s="12"/>
      <c r="T1927" s="12"/>
      <c r="U1927" s="10" t="str">
        <f>HYPERLINK("https://pbs.twimg.com/profile_images/901807493571063808/FxT96PCQ.jpg","View")</f>
        <v>View</v>
      </c>
    </row>
    <row r="1928" spans="1:21" ht="30.6">
      <c r="A1928" s="6">
        <v>43440.86</v>
      </c>
      <c r="B1928" s="7" t="str">
        <f>HYPERLINK("https://twitter.com/pallaron12","@pallaron12")</f>
        <v>@pallaron12</v>
      </c>
      <c r="C1928" s="8" t="s">
        <v>1692</v>
      </c>
      <c r="D1928" s="9" t="s">
        <v>1514</v>
      </c>
      <c r="E1928" s="10" t="str">
        <f>HYPERLINK("https://twitter.com/pallaron12/status/1070764411722317825","1070764411722317825")</f>
        <v>1070764411722317825</v>
      </c>
      <c r="F1928" s="11" t="s">
        <v>246</v>
      </c>
      <c r="G1928" s="12"/>
      <c r="H1928" s="12"/>
      <c r="I1928" s="13">
        <v>0</v>
      </c>
      <c r="J1928" s="13">
        <v>0</v>
      </c>
      <c r="K1928" s="14" t="str">
        <f>HYPERLINK("http://twitter.com/download/android","Twitter for Android")</f>
        <v>Twitter for Android</v>
      </c>
      <c r="L1928" s="13">
        <v>1481</v>
      </c>
      <c r="M1928" s="13">
        <v>551</v>
      </c>
      <c r="N1928" s="13">
        <v>8</v>
      </c>
      <c r="O1928" s="15"/>
      <c r="P1928" s="6">
        <v>41854.66134259259</v>
      </c>
      <c r="Q1928" s="16" t="s">
        <v>1693</v>
      </c>
      <c r="R1928" s="17" t="s">
        <v>1694</v>
      </c>
      <c r="S1928" s="12"/>
      <c r="T1928" s="12"/>
      <c r="U1928" s="10" t="str">
        <f>HYPERLINK("https://pbs.twimg.com/profile_images/1064713832633896961/NkwZ7D9D.jpg","View")</f>
        <v>View</v>
      </c>
    </row>
    <row r="1929" spans="1:21" ht="30.6">
      <c r="A1929" s="6">
        <v>43440.859918981485</v>
      </c>
      <c r="B1929" s="7" t="str">
        <f>HYPERLINK("https://twitter.com/TereRomgar","@TereRomgar")</f>
        <v>@TereRomgar</v>
      </c>
      <c r="C1929" s="8" t="s">
        <v>5403</v>
      </c>
      <c r="D1929" s="9" t="s">
        <v>1514</v>
      </c>
      <c r="E1929" s="10" t="str">
        <f>HYPERLINK("https://twitter.com/TereRomgar/status/1070764384266395650","1070764384266395650")</f>
        <v>1070764384266395650</v>
      </c>
      <c r="F1929" s="11" t="s">
        <v>246</v>
      </c>
      <c r="G1929" s="12"/>
      <c r="H1929" s="12"/>
      <c r="I1929" s="13">
        <v>5</v>
      </c>
      <c r="J1929" s="13">
        <v>1</v>
      </c>
      <c r="K1929" s="14" t="str">
        <f t="shared" ref="K1929:K1930" si="340">HYPERLINK("http://twitter.com","Twitter Web Client")</f>
        <v>Twitter Web Client</v>
      </c>
      <c r="L1929" s="13">
        <v>1498</v>
      </c>
      <c r="M1929" s="13">
        <v>2079</v>
      </c>
      <c r="N1929" s="13">
        <v>17</v>
      </c>
      <c r="O1929" s="15"/>
      <c r="P1929" s="6">
        <v>40041.572094907409</v>
      </c>
      <c r="Q1929" s="12"/>
      <c r="R1929" s="19"/>
      <c r="S1929" s="12"/>
      <c r="T1929" s="12"/>
      <c r="U1929" s="10" t="str">
        <f>HYPERLINK("https://pbs.twimg.com/profile_images/1610523733/Akubra_1.jpg","View")</f>
        <v>View</v>
      </c>
    </row>
    <row r="1930" spans="1:21" ht="40.799999999999997">
      <c r="A1930" s="6">
        <v>43440.8596875</v>
      </c>
      <c r="B1930" s="7" t="str">
        <f>HYPERLINK("https://twitter.com/falcarazfer","@falcarazfer")</f>
        <v>@falcarazfer</v>
      </c>
      <c r="C1930" s="8" t="s">
        <v>6599</v>
      </c>
      <c r="D1930" s="9" t="s">
        <v>1514</v>
      </c>
      <c r="E1930" s="10" t="str">
        <f>HYPERLINK("https://twitter.com/falcarazfer/status/1070764299373764613","1070764299373764613")</f>
        <v>1070764299373764613</v>
      </c>
      <c r="F1930" s="11" t="s">
        <v>246</v>
      </c>
      <c r="G1930" s="12"/>
      <c r="H1930" s="12"/>
      <c r="I1930" s="13">
        <v>0</v>
      </c>
      <c r="J1930" s="13">
        <v>0</v>
      </c>
      <c r="K1930" s="14" t="str">
        <f t="shared" si="340"/>
        <v>Twitter Web Client</v>
      </c>
      <c r="L1930" s="13">
        <v>3538</v>
      </c>
      <c r="M1930" s="13">
        <v>3498</v>
      </c>
      <c r="N1930" s="13">
        <v>52</v>
      </c>
      <c r="O1930" s="15"/>
      <c r="P1930" s="6">
        <v>41687.861030092594</v>
      </c>
      <c r="Q1930" s="12"/>
      <c r="R1930" s="17" t="s">
        <v>6600</v>
      </c>
      <c r="S1930" s="12"/>
      <c r="T1930" s="12"/>
      <c r="U1930" s="10" t="str">
        <f>HYPERLINK("https://pbs.twimg.com/profile_images/459014754648879105/Dt4Ki-pT.png","View")</f>
        <v>View</v>
      </c>
    </row>
    <row r="1931" spans="1:21" ht="51">
      <c r="A1931" s="6">
        <v>43440.859606481477</v>
      </c>
      <c r="B1931" s="7" t="str">
        <f>HYPERLINK("https://twitter.com/RousseauCS","@RousseauCS")</f>
        <v>@RousseauCS</v>
      </c>
      <c r="C1931" s="8" t="s">
        <v>244</v>
      </c>
      <c r="D1931" s="9" t="s">
        <v>245</v>
      </c>
      <c r="E1931" s="10" t="str">
        <f>HYPERLINK("https://twitter.com/RousseauCS/status/1070764269136961536","1070764269136961536")</f>
        <v>1070764269136961536</v>
      </c>
      <c r="F1931" s="11" t="s">
        <v>246</v>
      </c>
      <c r="G1931" s="12"/>
      <c r="H1931" s="12"/>
      <c r="I1931" s="13">
        <v>2</v>
      </c>
      <c r="J1931" s="13">
        <v>2</v>
      </c>
      <c r="K1931" s="14" t="str">
        <f>HYPERLINK("http://twitter.com/download/android","Twitter for Android")</f>
        <v>Twitter for Android</v>
      </c>
      <c r="L1931" s="13">
        <v>1197</v>
      </c>
      <c r="M1931" s="13">
        <v>1263</v>
      </c>
      <c r="N1931" s="13">
        <v>4</v>
      </c>
      <c r="O1931" s="15"/>
      <c r="P1931" s="6">
        <v>41644.773518518516</v>
      </c>
      <c r="Q1931" s="16" t="s">
        <v>247</v>
      </c>
      <c r="R1931" s="17" t="s">
        <v>248</v>
      </c>
      <c r="S1931" s="12"/>
      <c r="T1931" s="12"/>
      <c r="U1931" s="10" t="str">
        <f>HYPERLINK("https://pbs.twimg.com/profile_images/941809261843279874/NZXT5bQJ.jpg","View")</f>
        <v>View</v>
      </c>
    </row>
    <row r="1932" spans="1:21" ht="40.799999999999997">
      <c r="A1932" s="6">
        <v>43440.859502314815</v>
      </c>
      <c r="B1932" s="7" t="str">
        <f>HYPERLINK("https://twitter.com/Jhonnynecmonic","@Jhonnynecmonic")</f>
        <v>@Jhonnynecmonic</v>
      </c>
      <c r="C1932" s="8" t="s">
        <v>6601</v>
      </c>
      <c r="D1932" s="9" t="s">
        <v>1514</v>
      </c>
      <c r="E1932" s="10" t="str">
        <f>HYPERLINK("https://twitter.com/Jhonnynecmonic/status/1070764234139672576","1070764234139672576")</f>
        <v>1070764234139672576</v>
      </c>
      <c r="F1932" s="11" t="s">
        <v>246</v>
      </c>
      <c r="G1932" s="12"/>
      <c r="H1932" s="12"/>
      <c r="I1932" s="13">
        <v>0</v>
      </c>
      <c r="J1932" s="13">
        <v>0</v>
      </c>
      <c r="K1932" s="14" t="str">
        <f t="shared" ref="K1932:K1934" si="341">HYPERLINK("http://twitter.com","Twitter Web Client")</f>
        <v>Twitter Web Client</v>
      </c>
      <c r="L1932" s="13">
        <v>8309</v>
      </c>
      <c r="M1932" s="13">
        <v>8454</v>
      </c>
      <c r="N1932" s="13">
        <v>144</v>
      </c>
      <c r="O1932" s="15"/>
      <c r="P1932" s="6">
        <v>40624.538460648146</v>
      </c>
      <c r="Q1932" s="16" t="s">
        <v>6602</v>
      </c>
      <c r="R1932" s="17" t="s">
        <v>6603</v>
      </c>
      <c r="S1932" s="12"/>
      <c r="T1932" s="12"/>
      <c r="U1932" s="10" t="str">
        <f>HYPERLINK("https://pbs.twimg.com/profile_images/378800000712276954/8544c02655541eeba836aefe18b55759.png","View")</f>
        <v>View</v>
      </c>
    </row>
    <row r="1933" spans="1:21" ht="40.799999999999997">
      <c r="A1933" s="6">
        <v>43440.859479166669</v>
      </c>
      <c r="B1933" s="7" t="str">
        <f>HYPERLINK("https://twitter.com/manuvilladangos","@manuvilladangos")</f>
        <v>@manuvilladangos</v>
      </c>
      <c r="C1933" s="8" t="s">
        <v>6604</v>
      </c>
      <c r="D1933" s="9" t="s">
        <v>6605</v>
      </c>
      <c r="E1933" s="10" t="str">
        <f>HYPERLINK("https://twitter.com/manuvilladangos/status/1070764225033879552","1070764225033879552")</f>
        <v>1070764225033879552</v>
      </c>
      <c r="F1933" s="11" t="s">
        <v>246</v>
      </c>
      <c r="G1933" s="12"/>
      <c r="H1933" s="12"/>
      <c r="I1933" s="13">
        <v>0</v>
      </c>
      <c r="J1933" s="13">
        <v>0</v>
      </c>
      <c r="K1933" s="14" t="str">
        <f t="shared" si="341"/>
        <v>Twitter Web Client</v>
      </c>
      <c r="L1933" s="13">
        <v>2848</v>
      </c>
      <c r="M1933" s="13">
        <v>4987</v>
      </c>
      <c r="N1933" s="13">
        <v>47</v>
      </c>
      <c r="O1933" s="15"/>
      <c r="P1933" s="6">
        <v>40654.778784722221</v>
      </c>
      <c r="Q1933" s="16" t="s">
        <v>6606</v>
      </c>
      <c r="R1933" s="17" t="s">
        <v>6607</v>
      </c>
      <c r="S1933" s="11" t="s">
        <v>6608</v>
      </c>
      <c r="T1933" s="12"/>
      <c r="U1933" s="10" t="str">
        <f>HYPERLINK("https://pbs.twimg.com/profile_images/1008996480403767297/mvjL-DZx.jpg","View")</f>
        <v>View</v>
      </c>
    </row>
    <row r="1934" spans="1:21" ht="20.399999999999999">
      <c r="A1934" s="6">
        <v>43440.859189814815</v>
      </c>
      <c r="B1934" s="7" t="str">
        <f>HYPERLINK("https://twitter.com/quetemuevas","@quetemuevas")</f>
        <v>@quetemuevas</v>
      </c>
      <c r="C1934" s="8" t="s">
        <v>4206</v>
      </c>
      <c r="D1934" s="9" t="s">
        <v>4198</v>
      </c>
      <c r="E1934" s="10" t="str">
        <f>HYPERLINK("https://twitter.com/quetemuevas/status/1070764121086484485","1070764121086484485")</f>
        <v>1070764121086484485</v>
      </c>
      <c r="F1934" s="11" t="s">
        <v>3534</v>
      </c>
      <c r="G1934" s="12"/>
      <c r="H1934" s="12"/>
      <c r="I1934" s="13">
        <v>1</v>
      </c>
      <c r="J1934" s="13">
        <v>0</v>
      </c>
      <c r="K1934" s="14" t="str">
        <f t="shared" si="341"/>
        <v>Twitter Web Client</v>
      </c>
      <c r="L1934" s="13">
        <v>28564</v>
      </c>
      <c r="M1934" s="13">
        <v>24964</v>
      </c>
      <c r="N1934" s="13">
        <v>194</v>
      </c>
      <c r="O1934" s="15"/>
      <c r="P1934" s="6">
        <v>41145.67900462963</v>
      </c>
      <c r="Q1934" s="16" t="s">
        <v>4207</v>
      </c>
      <c r="R1934" s="17" t="s">
        <v>4208</v>
      </c>
      <c r="S1934" s="12"/>
      <c r="T1934" s="12"/>
      <c r="U1934" s="10" t="str">
        <f>HYPERLINK("https://pbs.twimg.com/profile_images/468505705226326016/a4602TfF.jpeg","View")</f>
        <v>View</v>
      </c>
    </row>
    <row r="1935" spans="1:21" ht="40.799999999999997">
      <c r="A1935" s="6">
        <v>43440.859131944446</v>
      </c>
      <c r="B1935" s="7" t="str">
        <f>HYPERLINK("https://twitter.com/reinvolucion","@reinvolucion")</f>
        <v>@reinvolucion</v>
      </c>
      <c r="C1935" s="8" t="s">
        <v>6609</v>
      </c>
      <c r="D1935" s="9" t="s">
        <v>6610</v>
      </c>
      <c r="E1935" s="10" t="str">
        <f>HYPERLINK("https://twitter.com/reinvolucion/status/1070764099108245505","1070764099108245505")</f>
        <v>1070764099108245505</v>
      </c>
      <c r="F1935" s="11" t="s">
        <v>246</v>
      </c>
      <c r="G1935" s="12"/>
      <c r="H1935" s="12"/>
      <c r="I1935" s="13">
        <v>0</v>
      </c>
      <c r="J1935" s="13">
        <v>0</v>
      </c>
      <c r="K1935" s="14" t="str">
        <f>HYPERLINK("https://mobile.twitter.com","Twitter Lite")</f>
        <v>Twitter Lite</v>
      </c>
      <c r="L1935" s="13">
        <v>95</v>
      </c>
      <c r="M1935" s="13">
        <v>129</v>
      </c>
      <c r="N1935" s="13">
        <v>0</v>
      </c>
      <c r="O1935" s="15"/>
      <c r="P1935" s="6">
        <v>41749.125428240739</v>
      </c>
      <c r="Q1935" s="16" t="s">
        <v>6611</v>
      </c>
      <c r="R1935" s="17" t="s">
        <v>6612</v>
      </c>
      <c r="S1935" s="12"/>
      <c r="T1935" s="12"/>
      <c r="U1935" s="10" t="str">
        <f>HYPERLINK("https://pbs.twimg.com/profile_images/468087538276528128/Jngdy46q.png","View")</f>
        <v>View</v>
      </c>
    </row>
    <row r="1936" spans="1:21" ht="20.399999999999999">
      <c r="A1936" s="6">
        <v>43440.858622685184</v>
      </c>
      <c r="B1936" s="7" t="str">
        <f>HYPERLINK("https://twitter.com/L20mOtros","@L20mOtros")</f>
        <v>@L20mOtros</v>
      </c>
      <c r="C1936" s="8" t="s">
        <v>579</v>
      </c>
      <c r="D1936" s="9" t="s">
        <v>6111</v>
      </c>
      <c r="E1936" s="10" t="str">
        <f>HYPERLINK("https://twitter.com/L20mOtros/status/1070763911660691457","1070763911660691457")</f>
        <v>1070763911660691457</v>
      </c>
      <c r="F1936" s="11" t="s">
        <v>6613</v>
      </c>
      <c r="G1936" s="11" t="s">
        <v>6614</v>
      </c>
      <c r="H1936" s="12"/>
      <c r="I1936" s="13">
        <v>0</v>
      </c>
      <c r="J1936" s="13">
        <v>0</v>
      </c>
      <c r="K1936" s="14" t="str">
        <f>HYPERLINK("http://dogtrack.es","DogTrack_Oficial")</f>
        <v>DogTrack_Oficial</v>
      </c>
      <c r="L1936" s="13">
        <v>23</v>
      </c>
      <c r="M1936" s="13">
        <v>8</v>
      </c>
      <c r="N1936" s="13">
        <v>0</v>
      </c>
      <c r="O1936" s="15"/>
      <c r="P1936" s="6">
        <v>41285.602418981478</v>
      </c>
      <c r="Q1936" s="12"/>
      <c r="R1936" s="19"/>
      <c r="S1936" s="11" t="s">
        <v>585</v>
      </c>
      <c r="T1936" s="12"/>
      <c r="U1936" s="10" t="str">
        <f>HYPERLINK("https://pbs.twimg.com/profile_images/3148562799/6854a445e373c5053b43f5c11d764b41.jpeg","View")</f>
        <v>View</v>
      </c>
    </row>
    <row r="1937" spans="1:21" ht="30.6">
      <c r="A1937" s="6">
        <v>43440.858576388884</v>
      </c>
      <c r="B1937" s="7" t="str">
        <f>HYPERLINK("https://twitter.com/r_elorrieta","@r_elorrieta")</f>
        <v>@r_elorrieta</v>
      </c>
      <c r="C1937" s="8" t="s">
        <v>4642</v>
      </c>
      <c r="D1937" s="9" t="s">
        <v>1514</v>
      </c>
      <c r="E1937" s="10" t="str">
        <f>HYPERLINK("https://twitter.com/r_elorrieta/status/1070763894971482112","1070763894971482112")</f>
        <v>1070763894971482112</v>
      </c>
      <c r="F1937" s="11" t="s">
        <v>246</v>
      </c>
      <c r="G1937" s="12"/>
      <c r="H1937" s="12"/>
      <c r="I1937" s="13">
        <v>0</v>
      </c>
      <c r="J1937" s="13">
        <v>1</v>
      </c>
      <c r="K1937" s="14" t="str">
        <f t="shared" ref="K1937:K1939" si="342">HYPERLINK("http://twitter.com","Twitter Web Client")</f>
        <v>Twitter Web Client</v>
      </c>
      <c r="L1937" s="13">
        <v>101</v>
      </c>
      <c r="M1937" s="13">
        <v>247</v>
      </c>
      <c r="N1937" s="13">
        <v>0</v>
      </c>
      <c r="O1937" s="15"/>
      <c r="P1937" s="6">
        <v>42722.452326388884</v>
      </c>
      <c r="Q1937" s="12"/>
      <c r="R1937" s="17" t="s">
        <v>4644</v>
      </c>
      <c r="S1937" s="12"/>
      <c r="T1937" s="12"/>
      <c r="U1937" s="10" t="str">
        <f>HYPERLINK("https://pbs.twimg.com/profile_images/919129654816100352/oYO7LaBw.jpg","View")</f>
        <v>View</v>
      </c>
    </row>
    <row r="1938" spans="1:21" ht="30.6">
      <c r="A1938" s="6">
        <v>43440.858414351853</v>
      </c>
      <c r="B1938" s="7" t="str">
        <f>HYPERLINK("https://twitter.com/ANGELPF","@ANGELPF")</f>
        <v>@ANGELPF</v>
      </c>
      <c r="C1938" s="8" t="s">
        <v>6615</v>
      </c>
      <c r="D1938" s="9" t="s">
        <v>6616</v>
      </c>
      <c r="E1938" s="10" t="str">
        <f>HYPERLINK("https://twitter.com/ANGELPF/status/1070763839271129088","1070763839271129088")</f>
        <v>1070763839271129088</v>
      </c>
      <c r="F1938" s="11" t="s">
        <v>4815</v>
      </c>
      <c r="G1938" s="12"/>
      <c r="H1938" s="12"/>
      <c r="I1938" s="13">
        <v>0</v>
      </c>
      <c r="J1938" s="13">
        <v>0</v>
      </c>
      <c r="K1938" s="14" t="str">
        <f t="shared" si="342"/>
        <v>Twitter Web Client</v>
      </c>
      <c r="L1938" s="13">
        <v>55</v>
      </c>
      <c r="M1938" s="13">
        <v>155</v>
      </c>
      <c r="N1938" s="13">
        <v>0</v>
      </c>
      <c r="O1938" s="15"/>
      <c r="P1938" s="6">
        <v>40056.838252314818</v>
      </c>
      <c r="Q1938" s="16" t="s">
        <v>6617</v>
      </c>
      <c r="R1938" s="19"/>
      <c r="S1938" s="12"/>
      <c r="T1938" s="12"/>
      <c r="U1938" s="10" t="str">
        <f>HYPERLINK("https://pbs.twimg.com/profile_images/3498828400/5af656e8edca06ea89fa5fe1b0358a74.jpeg","View")</f>
        <v>View</v>
      </c>
    </row>
    <row r="1939" spans="1:21" ht="20.399999999999999">
      <c r="A1939" s="6">
        <v>43440.858414351853</v>
      </c>
      <c r="B1939" s="7" t="str">
        <f>HYPERLINK("https://twitter.com/catymu2","@catymu2")</f>
        <v>@catymu2</v>
      </c>
      <c r="C1939" s="8" t="s">
        <v>1908</v>
      </c>
      <c r="D1939" s="9" t="s">
        <v>1324</v>
      </c>
      <c r="E1939" s="10" t="str">
        <f>HYPERLINK("https://twitter.com/catymu2/status/1070763836989427714","1070763836989427714")</f>
        <v>1070763836989427714</v>
      </c>
      <c r="F1939" s="11" t="s">
        <v>467</v>
      </c>
      <c r="G1939" s="12"/>
      <c r="H1939" s="12"/>
      <c r="I1939" s="13">
        <v>0</v>
      </c>
      <c r="J1939" s="13">
        <v>0</v>
      </c>
      <c r="K1939" s="14" t="str">
        <f t="shared" si="342"/>
        <v>Twitter Web Client</v>
      </c>
      <c r="L1939" s="13">
        <v>43</v>
      </c>
      <c r="M1939" s="13">
        <v>129</v>
      </c>
      <c r="N1939" s="13">
        <v>0</v>
      </c>
      <c r="O1939" s="15"/>
      <c r="P1939" s="6">
        <v>42432.456226851849</v>
      </c>
      <c r="Q1939" s="16" t="s">
        <v>60</v>
      </c>
      <c r="R1939" s="19"/>
      <c r="S1939" s="12"/>
      <c r="T1939" s="12"/>
      <c r="U1939" s="10" t="str">
        <f>HYPERLINK("https://pbs.twimg.com/profile_images/1009103258785402882/34q9w8XC.jpg","View")</f>
        <v>View</v>
      </c>
    </row>
    <row r="1940" spans="1:21" ht="30.6">
      <c r="A1940" s="6">
        <v>43440.858217592591</v>
      </c>
      <c r="B1940" s="7" t="str">
        <f>HYPERLINK("https://twitter.com/MCarmenRiv74","@MCarmenRiv74")</f>
        <v>@MCarmenRiv74</v>
      </c>
      <c r="C1940" s="8" t="s">
        <v>6624</v>
      </c>
      <c r="D1940" s="9" t="s">
        <v>2428</v>
      </c>
      <c r="E1940" s="10" t="str">
        <f>HYPERLINK("https://twitter.com/MCarmenRiv74/status/1070763767347195905","1070763767347195905")</f>
        <v>1070763767347195905</v>
      </c>
      <c r="F1940" s="11" t="s">
        <v>246</v>
      </c>
      <c r="G1940" s="12"/>
      <c r="H1940" s="12"/>
      <c r="I1940" s="13">
        <v>7</v>
      </c>
      <c r="J1940" s="13">
        <v>12</v>
      </c>
      <c r="K1940" s="14" t="str">
        <f>HYPERLINK("http://twitter.com/download/android","Twitter for Android")</f>
        <v>Twitter for Android</v>
      </c>
      <c r="L1940" s="13">
        <v>15661</v>
      </c>
      <c r="M1940" s="13">
        <v>13805</v>
      </c>
      <c r="N1940" s="13">
        <v>93</v>
      </c>
      <c r="O1940" s="15"/>
      <c r="P1940" s="6">
        <v>41398.572731481479</v>
      </c>
      <c r="Q1940" s="12"/>
      <c r="R1940" s="17" t="s">
        <v>6625</v>
      </c>
      <c r="S1940" s="12"/>
      <c r="T1940" s="12"/>
      <c r="U1940" s="10" t="str">
        <f>HYPERLINK("https://pbs.twimg.com/profile_images/1062865623494131712/UmeE68Gq.jpg","View")</f>
        <v>View</v>
      </c>
    </row>
    <row r="1941" spans="1:21" ht="20.399999999999999">
      <c r="A1941" s="6">
        <v>43440.857893518521</v>
      </c>
      <c r="B1941" s="7" t="str">
        <f>HYPERLINK("https://twitter.com/Plitusaf","@Plitusaf")</f>
        <v>@Plitusaf</v>
      </c>
      <c r="C1941" s="8" t="s">
        <v>22</v>
      </c>
      <c r="D1941" s="9" t="s">
        <v>6626</v>
      </c>
      <c r="E1941" s="10" t="str">
        <f>HYPERLINK("https://twitter.com/Plitusaf/status/1070763651441790976","1070763651441790976")</f>
        <v>1070763651441790976</v>
      </c>
      <c r="F1941" s="11" t="s">
        <v>5253</v>
      </c>
      <c r="G1941" s="12"/>
      <c r="H1941" s="12"/>
      <c r="I1941" s="13">
        <v>0</v>
      </c>
      <c r="J1941" s="13">
        <v>0</v>
      </c>
      <c r="K1941" s="14" t="str">
        <f>HYPERLINK("http://twitter.com","Twitter Web Client")</f>
        <v>Twitter Web Client</v>
      </c>
      <c r="L1941" s="13">
        <v>402</v>
      </c>
      <c r="M1941" s="13">
        <v>605</v>
      </c>
      <c r="N1941" s="13">
        <v>3</v>
      </c>
      <c r="O1941" s="15"/>
      <c r="P1941" s="6">
        <v>40567.567685185189</v>
      </c>
      <c r="Q1941" s="16" t="s">
        <v>26</v>
      </c>
      <c r="R1941" s="19"/>
      <c r="S1941" s="12"/>
      <c r="T1941" s="12"/>
      <c r="U1941" s="18" t="s">
        <v>67</v>
      </c>
    </row>
    <row r="1942" spans="1:21" ht="20.399999999999999">
      <c r="A1942" s="6">
        <v>43440.857615740737</v>
      </c>
      <c r="B1942" s="7" t="str">
        <f>HYPERLINK("https://twitter.com/juanfrem531","@juanfrem531")</f>
        <v>@juanfrem531</v>
      </c>
      <c r="C1942" s="8" t="s">
        <v>6630</v>
      </c>
      <c r="D1942" s="9" t="s">
        <v>6631</v>
      </c>
      <c r="E1942" s="10" t="str">
        <f>HYPERLINK("https://twitter.com/juanfrem531/status/1070763550317129728","1070763550317129728")</f>
        <v>1070763550317129728</v>
      </c>
      <c r="F1942" s="11" t="s">
        <v>246</v>
      </c>
      <c r="G1942" s="12"/>
      <c r="H1942" s="12"/>
      <c r="I1942" s="13">
        <v>0</v>
      </c>
      <c r="J1942" s="13">
        <v>0</v>
      </c>
      <c r="K1942" s="14" t="str">
        <f>HYPERLINK("http://twitter.com/download/android","Twitter for Android")</f>
        <v>Twitter for Android</v>
      </c>
      <c r="L1942" s="13">
        <v>63</v>
      </c>
      <c r="M1942" s="13">
        <v>160</v>
      </c>
      <c r="N1942" s="13">
        <v>2</v>
      </c>
      <c r="O1942" s="15"/>
      <c r="P1942" s="6">
        <v>43328.510023148148</v>
      </c>
      <c r="Q1942" s="12"/>
      <c r="R1942" s="17" t="s">
        <v>6632</v>
      </c>
      <c r="S1942" s="12"/>
      <c r="T1942" s="12"/>
      <c r="U1942" s="10" t="str">
        <f>HYPERLINK("https://pbs.twimg.com/profile_images/1050676796591497217/Ad6Vs2Nf.jpg","View")</f>
        <v>View</v>
      </c>
    </row>
    <row r="1943" spans="1:21" ht="20.399999999999999">
      <c r="A1943" s="6">
        <v>43440.857430555552</v>
      </c>
      <c r="B1943" s="7" t="str">
        <f>HYPERLINK("https://twitter.com/KevinMcklein","@KevinMcklein")</f>
        <v>@KevinMcklein</v>
      </c>
      <c r="C1943" s="8" t="s">
        <v>6633</v>
      </c>
      <c r="D1943" s="9" t="s">
        <v>5235</v>
      </c>
      <c r="E1943" s="10" t="str">
        <f>HYPERLINK("https://twitter.com/KevinMcklein/status/1070763482159697920","1070763482159697920")</f>
        <v>1070763482159697920</v>
      </c>
      <c r="F1943" s="11" t="s">
        <v>6634</v>
      </c>
      <c r="G1943" s="11" t="s">
        <v>6635</v>
      </c>
      <c r="H1943" s="12"/>
      <c r="I1943" s="13">
        <v>0</v>
      </c>
      <c r="J1943" s="13">
        <v>0</v>
      </c>
      <c r="K1943" s="14" t="str">
        <f>HYPERLINK("http://publicize.wp.com/","WordPress.com")</f>
        <v>WordPress.com</v>
      </c>
      <c r="L1943" s="13">
        <v>60</v>
      </c>
      <c r="M1943" s="13">
        <v>59</v>
      </c>
      <c r="N1943" s="13">
        <v>1</v>
      </c>
      <c r="O1943" s="15"/>
      <c r="P1943" s="6">
        <v>41087.819305555553</v>
      </c>
      <c r="Q1943" s="16" t="s">
        <v>6636</v>
      </c>
      <c r="R1943" s="19"/>
      <c r="S1943" s="11" t="s">
        <v>6637</v>
      </c>
      <c r="T1943" s="12"/>
      <c r="U1943" s="10" t="str">
        <f>HYPERLINK("https://pbs.twimg.com/profile_images/972300917813858304/QE9sGb4n.jpg","View")</f>
        <v>View</v>
      </c>
    </row>
    <row r="1944" spans="1:21" ht="30.6">
      <c r="A1944" s="6">
        <v>43440.857337962967</v>
      </c>
      <c r="B1944" s="7" t="str">
        <f>HYPERLINK("https://twitter.com/Arianecara","@Arianecara")</f>
        <v>@Arianecara</v>
      </c>
      <c r="C1944" s="8" t="s">
        <v>6639</v>
      </c>
      <c r="D1944" s="9" t="s">
        <v>6641</v>
      </c>
      <c r="E1944" s="10" t="str">
        <f>HYPERLINK("https://twitter.com/Arianecara/status/1070763447787405312","1070763447787405312")</f>
        <v>1070763447787405312</v>
      </c>
      <c r="F1944" s="11" t="s">
        <v>246</v>
      </c>
      <c r="G1944" s="12"/>
      <c r="H1944" s="12"/>
      <c r="I1944" s="13">
        <v>0</v>
      </c>
      <c r="J1944" s="13">
        <v>1</v>
      </c>
      <c r="K1944" s="14" t="str">
        <f t="shared" ref="K1944:K1945" si="343">HYPERLINK("http://twitter.com/download/android","Twitter for Android")</f>
        <v>Twitter for Android</v>
      </c>
      <c r="L1944" s="13">
        <v>1703</v>
      </c>
      <c r="M1944" s="13">
        <v>2901</v>
      </c>
      <c r="N1944" s="13">
        <v>46</v>
      </c>
      <c r="O1944" s="15"/>
      <c r="P1944" s="6">
        <v>40003.477476851855</v>
      </c>
      <c r="Q1944" s="16" t="s">
        <v>85</v>
      </c>
      <c r="R1944" s="17" t="s">
        <v>6642</v>
      </c>
      <c r="S1944" s="12"/>
      <c r="T1944" s="12"/>
      <c r="U1944" s="10" t="str">
        <f>HYPERLINK("https://pbs.twimg.com/profile_images/2151385081/foto.jpg","View")</f>
        <v>View</v>
      </c>
    </row>
    <row r="1945" spans="1:21" ht="20.399999999999999">
      <c r="A1945" s="6">
        <v>43440.857268518521</v>
      </c>
      <c r="B1945" s="7" t="str">
        <f>HYPERLINK("https://twitter.com/sterlingmrch","@sterlingmrch")</f>
        <v>@sterlingmrch</v>
      </c>
      <c r="C1945" s="8" t="s">
        <v>5345</v>
      </c>
      <c r="D1945" s="9" t="s">
        <v>6643</v>
      </c>
      <c r="E1945" s="10" t="str">
        <f>HYPERLINK("https://twitter.com/sterlingmrch/status/1070763420918706176","1070763420918706176")</f>
        <v>1070763420918706176</v>
      </c>
      <c r="F1945" s="12"/>
      <c r="G1945" s="11" t="s">
        <v>4889</v>
      </c>
      <c r="H1945" s="12"/>
      <c r="I1945" s="13">
        <v>615</v>
      </c>
      <c r="J1945" s="13">
        <v>1110</v>
      </c>
      <c r="K1945" s="14" t="str">
        <f t="shared" si="343"/>
        <v>Twitter for Android</v>
      </c>
      <c r="L1945" s="13">
        <v>5638</v>
      </c>
      <c r="M1945" s="13">
        <v>157</v>
      </c>
      <c r="N1945" s="13">
        <v>32</v>
      </c>
      <c r="O1945" s="15"/>
      <c r="P1945" s="6">
        <v>43081.90347222222</v>
      </c>
      <c r="Q1945" s="16" t="s">
        <v>5349</v>
      </c>
      <c r="R1945" s="19"/>
      <c r="S1945" s="12"/>
      <c r="T1945" s="12"/>
      <c r="U1945" s="10" t="str">
        <f>HYPERLINK("https://pbs.twimg.com/profile_images/1020369511705468928/Q3O3r-FE.jpg","View")</f>
        <v>View</v>
      </c>
    </row>
    <row r="1946" spans="1:21" ht="30.6">
      <c r="A1946" s="6">
        <v>43440.856921296298</v>
      </c>
      <c r="B1946" s="7" t="str">
        <f>HYPERLINK("https://twitter.com/Dama_Cristal","@Dama_Cristal")</f>
        <v>@Dama_Cristal</v>
      </c>
      <c r="C1946" s="8" t="s">
        <v>537</v>
      </c>
      <c r="D1946" s="9" t="s">
        <v>1514</v>
      </c>
      <c r="E1946" s="10" t="str">
        <f>HYPERLINK("https://twitter.com/Dama_Cristal/status/1070763295483850752","1070763295483850752")</f>
        <v>1070763295483850752</v>
      </c>
      <c r="F1946" s="11" t="s">
        <v>246</v>
      </c>
      <c r="G1946" s="12"/>
      <c r="H1946" s="12"/>
      <c r="I1946" s="13">
        <v>1</v>
      </c>
      <c r="J1946" s="13">
        <v>2</v>
      </c>
      <c r="K1946" s="14" t="str">
        <f t="shared" ref="K1946:K1947" si="344">HYPERLINK("http://twitter.com","Twitter Web Client")</f>
        <v>Twitter Web Client</v>
      </c>
      <c r="L1946" s="13">
        <v>3982</v>
      </c>
      <c r="M1946" s="13">
        <v>1146</v>
      </c>
      <c r="N1946" s="13">
        <v>115</v>
      </c>
      <c r="O1946" s="15"/>
      <c r="P1946" s="6">
        <v>40055.963437500002</v>
      </c>
      <c r="Q1946" s="16" t="s">
        <v>539</v>
      </c>
      <c r="R1946" s="17" t="s">
        <v>540</v>
      </c>
      <c r="S1946" s="11" t="s">
        <v>541</v>
      </c>
      <c r="T1946" s="12"/>
      <c r="U1946" s="10" t="str">
        <f>HYPERLINK("https://pbs.twimg.com/profile_images/1063871379488063489/2qf35eY7.jpg","View")</f>
        <v>View</v>
      </c>
    </row>
    <row r="1947" spans="1:21" ht="40.799999999999997">
      <c r="A1947" s="6">
        <v>43440.856874999998</v>
      </c>
      <c r="B1947" s="7" t="str">
        <f>HYPERLINK("https://twitter.com/Manuel_Jardon","@Manuel_Jardon")</f>
        <v>@Manuel_Jardon</v>
      </c>
      <c r="C1947" s="8" t="s">
        <v>6356</v>
      </c>
      <c r="D1947" s="9" t="s">
        <v>6357</v>
      </c>
      <c r="E1947" s="10" t="str">
        <f>HYPERLINK("https://twitter.com/Manuel_Jardon/status/1070763282045251586","1070763282045251586")</f>
        <v>1070763282045251586</v>
      </c>
      <c r="F1947" s="11" t="s">
        <v>6358</v>
      </c>
      <c r="G1947" s="12"/>
      <c r="H1947" s="12"/>
      <c r="I1947" s="13">
        <v>0</v>
      </c>
      <c r="J1947" s="13">
        <v>0</v>
      </c>
      <c r="K1947" s="14" t="str">
        <f t="shared" si="344"/>
        <v>Twitter Web Client</v>
      </c>
      <c r="L1947" s="13">
        <v>560</v>
      </c>
      <c r="M1947" s="13">
        <v>300</v>
      </c>
      <c r="N1947" s="13">
        <v>6</v>
      </c>
      <c r="O1947" s="15"/>
      <c r="P1947" s="6">
        <v>41401.208391203705</v>
      </c>
      <c r="Q1947" s="16" t="s">
        <v>6359</v>
      </c>
      <c r="R1947" s="17" t="s">
        <v>6360</v>
      </c>
      <c r="S1947" s="12"/>
      <c r="T1947" s="12"/>
      <c r="U1947" s="10" t="str">
        <f>HYPERLINK("https://pbs.twimg.com/profile_images/1020115617771409408/khXfaDax.jpg","View")</f>
        <v>View</v>
      </c>
    </row>
    <row r="1948" spans="1:21" ht="30.6">
      <c r="A1948" s="6">
        <v>43440.856793981482</v>
      </c>
      <c r="B1948" s="7" t="str">
        <f>HYPERLINK("https://twitter.com/acritor","@acritor")</f>
        <v>@acritor</v>
      </c>
      <c r="C1948" s="8" t="s">
        <v>6644</v>
      </c>
      <c r="D1948" s="9" t="s">
        <v>6645</v>
      </c>
      <c r="E1948" s="10" t="str">
        <f>HYPERLINK("https://twitter.com/acritor/status/1070763249539473408","1070763249539473408")</f>
        <v>1070763249539473408</v>
      </c>
      <c r="F1948" s="11" t="s">
        <v>6646</v>
      </c>
      <c r="G1948" s="12"/>
      <c r="H1948" s="12"/>
      <c r="I1948" s="13">
        <v>0</v>
      </c>
      <c r="J1948" s="13">
        <v>1</v>
      </c>
      <c r="K1948" s="14" t="str">
        <f>HYPERLINK("http://twitter.com/download/android","Twitter for Android")</f>
        <v>Twitter for Android</v>
      </c>
      <c r="L1948" s="13">
        <v>146</v>
      </c>
      <c r="M1948" s="13">
        <v>254</v>
      </c>
      <c r="N1948" s="13">
        <v>0</v>
      </c>
      <c r="O1948" s="15"/>
      <c r="P1948" s="6">
        <v>41247.881828703699</v>
      </c>
      <c r="Q1948" s="12"/>
      <c r="R1948" s="17" t="s">
        <v>6647</v>
      </c>
      <c r="S1948" s="12"/>
      <c r="T1948" s="12"/>
      <c r="U1948" s="10" t="str">
        <f>HYPERLINK("https://pbs.twimg.com/profile_images/769611537380245504/PEws1A5M.jpg","View")</f>
        <v>View</v>
      </c>
    </row>
    <row r="1949" spans="1:21" ht="20.399999999999999">
      <c r="A1949" s="6">
        <v>43440.856666666667</v>
      </c>
      <c r="B1949" s="7" t="str">
        <f>HYPERLINK("https://twitter.com/EAristeguieta","@EAristeguieta")</f>
        <v>@EAristeguieta</v>
      </c>
      <c r="C1949" s="8" t="s">
        <v>6648</v>
      </c>
      <c r="D1949" s="9" t="s">
        <v>6649</v>
      </c>
      <c r="E1949" s="10" t="str">
        <f>HYPERLINK("https://twitter.com/EAristeguieta/status/1070763206761697281","1070763206761697281")</f>
        <v>1070763206761697281</v>
      </c>
      <c r="F1949" s="12"/>
      <c r="G1949" s="12"/>
      <c r="H1949" s="12"/>
      <c r="I1949" s="13">
        <v>42</v>
      </c>
      <c r="J1949" s="13">
        <v>69</v>
      </c>
      <c r="K1949" s="14" t="str">
        <f>HYPERLINK("http://twitter.com/download/iphone","Twitter for iPhone")</f>
        <v>Twitter for iPhone</v>
      </c>
      <c r="L1949" s="13">
        <v>337080</v>
      </c>
      <c r="M1949" s="13">
        <v>2014</v>
      </c>
      <c r="N1949" s="13">
        <v>680</v>
      </c>
      <c r="O1949" s="15"/>
      <c r="P1949" s="6">
        <v>41401.692696759259</v>
      </c>
      <c r="Q1949" s="12"/>
      <c r="R1949" s="17" t="s">
        <v>6650</v>
      </c>
      <c r="S1949" s="12"/>
      <c r="T1949" s="12"/>
      <c r="U1949" s="10" t="str">
        <f>HYPERLINK("https://pbs.twimg.com/profile_images/3769311276/c03c400593ab3dce19d584a9f3cde7ea.jpeg","View")</f>
        <v>View</v>
      </c>
    </row>
    <row r="1950" spans="1:21" ht="30.6">
      <c r="A1950" s="6">
        <v>43440.856435185182</v>
      </c>
      <c r="B1950" s="7" t="str">
        <f>HYPERLINK("https://twitter.com/Wallymi10","@Wallymi10")</f>
        <v>@Wallymi10</v>
      </c>
      <c r="C1950" s="8" t="s">
        <v>1617</v>
      </c>
      <c r="D1950" s="9" t="s">
        <v>6651</v>
      </c>
      <c r="E1950" s="10" t="str">
        <f>HYPERLINK("https://twitter.com/Wallymi10/status/1070763119692140550","1070763119692140550")</f>
        <v>1070763119692140550</v>
      </c>
      <c r="F1950" s="11" t="s">
        <v>246</v>
      </c>
      <c r="G1950" s="12"/>
      <c r="H1950" s="12"/>
      <c r="I1950" s="13">
        <v>1</v>
      </c>
      <c r="J1950" s="13">
        <v>2</v>
      </c>
      <c r="K1950" s="14" t="str">
        <f>HYPERLINK("http://twitter.com/download/android","Twitter for Android")</f>
        <v>Twitter for Android</v>
      </c>
      <c r="L1950" s="13">
        <v>4392</v>
      </c>
      <c r="M1950" s="13">
        <v>4546</v>
      </c>
      <c r="N1950" s="13">
        <v>26</v>
      </c>
      <c r="O1950" s="15"/>
      <c r="P1950" s="6">
        <v>40805.640347222223</v>
      </c>
      <c r="Q1950" s="16" t="s">
        <v>1619</v>
      </c>
      <c r="R1950" s="17" t="s">
        <v>1620</v>
      </c>
      <c r="S1950" s="12"/>
      <c r="T1950" s="12"/>
      <c r="U1950" s="10" t="str">
        <f>HYPERLINK("https://pbs.twimg.com/profile_images/948140742727340033/EEg67D9S.jpg","View")</f>
        <v>View</v>
      </c>
    </row>
    <row r="1951" spans="1:21" ht="30.6">
      <c r="A1951" s="6">
        <v>43440.856168981481</v>
      </c>
      <c r="B1951" s="7" t="str">
        <f>HYPERLINK("https://twitter.com/ElenaMoren_","@ElenaMoren_")</f>
        <v>@ElenaMoren_</v>
      </c>
      <c r="C1951" s="8" t="s">
        <v>6652</v>
      </c>
      <c r="D1951" s="9" t="s">
        <v>1514</v>
      </c>
      <c r="E1951" s="10" t="str">
        <f>HYPERLINK("https://twitter.com/ElenaMoren_/status/1070763024955396096","1070763024955396096")</f>
        <v>1070763024955396096</v>
      </c>
      <c r="F1951" s="11" t="s">
        <v>246</v>
      </c>
      <c r="G1951" s="12"/>
      <c r="H1951" s="12"/>
      <c r="I1951" s="13">
        <v>70</v>
      </c>
      <c r="J1951" s="13">
        <v>122</v>
      </c>
      <c r="K1951" s="14" t="str">
        <f t="shared" ref="K1951:K1952" si="345">HYPERLINK("http://twitter.com","Twitter Web Client")</f>
        <v>Twitter Web Client</v>
      </c>
      <c r="L1951" s="13">
        <v>13458</v>
      </c>
      <c r="M1951" s="13">
        <v>395</v>
      </c>
      <c r="N1951" s="13">
        <v>132</v>
      </c>
      <c r="O1951" s="15"/>
      <c r="P1951" s="6">
        <v>41052.869351851856</v>
      </c>
      <c r="Q1951" s="16" t="s">
        <v>26</v>
      </c>
      <c r="R1951" s="17" t="s">
        <v>6653</v>
      </c>
      <c r="S1951" s="11" t="s">
        <v>6654</v>
      </c>
      <c r="T1951" s="12"/>
      <c r="U1951" s="10" t="str">
        <f>HYPERLINK("https://pbs.twimg.com/profile_images/802009519765200897/2bF4n6tS.jpg","View")</f>
        <v>View</v>
      </c>
    </row>
    <row r="1952" spans="1:21" ht="30.6">
      <c r="A1952" s="6">
        <v>43440.855937500004</v>
      </c>
      <c r="B1952" s="7" t="str">
        <f>HYPERLINK("https://twitter.com/Alejandra_v_c","@Alejandra_v_c")</f>
        <v>@Alejandra_v_c</v>
      </c>
      <c r="C1952" s="8" t="s">
        <v>6655</v>
      </c>
      <c r="D1952" s="9" t="s">
        <v>1514</v>
      </c>
      <c r="E1952" s="10" t="str">
        <f>HYPERLINK("https://twitter.com/Alejandra_v_c/status/1070762938892460033","1070762938892460033")</f>
        <v>1070762938892460033</v>
      </c>
      <c r="F1952" s="11" t="s">
        <v>246</v>
      </c>
      <c r="G1952" s="12"/>
      <c r="H1952" s="12"/>
      <c r="I1952" s="13">
        <v>0</v>
      </c>
      <c r="J1952" s="13">
        <v>1</v>
      </c>
      <c r="K1952" s="14" t="str">
        <f t="shared" si="345"/>
        <v>Twitter Web Client</v>
      </c>
      <c r="L1952" s="13">
        <v>2933</v>
      </c>
      <c r="M1952" s="13">
        <v>2835</v>
      </c>
      <c r="N1952" s="13">
        <v>41</v>
      </c>
      <c r="O1952" s="15"/>
      <c r="P1952" s="6">
        <v>40522.73841435185</v>
      </c>
      <c r="Q1952" s="16" t="s">
        <v>6656</v>
      </c>
      <c r="R1952" s="17" t="s">
        <v>6657</v>
      </c>
      <c r="S1952" s="12"/>
      <c r="T1952" s="12"/>
      <c r="U1952" s="10" t="str">
        <f>HYPERLINK("https://pbs.twimg.com/profile_images/1055952930392719360/VD5iZjZN.jpg","View")</f>
        <v>View</v>
      </c>
    </row>
    <row r="1953" spans="1:21" ht="51">
      <c r="A1953" s="6">
        <v>43440.855324074073</v>
      </c>
      <c r="B1953" s="7" t="str">
        <f>HYPERLINK("https://twitter.com/RogerdClari","@RogerdClari")</f>
        <v>@RogerdClari</v>
      </c>
      <c r="C1953" s="8" t="s">
        <v>437</v>
      </c>
      <c r="D1953" s="9" t="s">
        <v>6658</v>
      </c>
      <c r="E1953" s="10" t="str">
        <f>HYPERLINK("https://twitter.com/RogerdClari/status/1070762719345807360","1070762719345807360")</f>
        <v>1070762719345807360</v>
      </c>
      <c r="F1953" s="12"/>
      <c r="G1953" s="12"/>
      <c r="H1953" s="12"/>
      <c r="I1953" s="13">
        <v>0</v>
      </c>
      <c r="J1953" s="13">
        <v>1</v>
      </c>
      <c r="K1953" s="14" t="str">
        <f>HYPERLINK("http://twitter.com/download/android","Twitter for Android")</f>
        <v>Twitter for Android</v>
      </c>
      <c r="L1953" s="13">
        <v>2492</v>
      </c>
      <c r="M1953" s="13">
        <v>2277</v>
      </c>
      <c r="N1953" s="13">
        <v>22</v>
      </c>
      <c r="O1953" s="15"/>
      <c r="P1953" s="6">
        <v>42115.826782407406</v>
      </c>
      <c r="Q1953" s="16" t="s">
        <v>441</v>
      </c>
      <c r="R1953" s="17" t="s">
        <v>442</v>
      </c>
      <c r="S1953" s="12"/>
      <c r="T1953" s="12"/>
      <c r="U1953" s="10" t="str">
        <f>HYPERLINK("https://pbs.twimg.com/profile_images/613031209405403136/BCSuUFP-.jpg","View")</f>
        <v>View</v>
      </c>
    </row>
    <row r="1954" spans="1:21" ht="40.799999999999997">
      <c r="A1954" s="6">
        <v>43440.851817129631</v>
      </c>
      <c r="B1954" s="7" t="str">
        <f>HYPERLINK("https://twitter.com/Madrizeleno","@Madrizeleno")</f>
        <v>@Madrizeleno</v>
      </c>
      <c r="C1954" s="8" t="s">
        <v>2871</v>
      </c>
      <c r="D1954" s="9" t="s">
        <v>5023</v>
      </c>
      <c r="E1954" s="10" t="str">
        <f>HYPERLINK("https://twitter.com/Madrizeleno/status/1070761448673034246","1070761448673034246")</f>
        <v>1070761448673034246</v>
      </c>
      <c r="F1954" s="11" t="s">
        <v>6660</v>
      </c>
      <c r="G1954" s="12"/>
      <c r="H1954" s="12"/>
      <c r="I1954" s="13">
        <v>0</v>
      </c>
      <c r="J1954" s="13">
        <v>0</v>
      </c>
      <c r="K1954" s="14" t="str">
        <f t="shared" ref="K1954:K1955" si="346">HYPERLINK("http://twitter.com","Twitter Web Client")</f>
        <v>Twitter Web Client</v>
      </c>
      <c r="L1954" s="13">
        <v>27</v>
      </c>
      <c r="M1954" s="13">
        <v>65</v>
      </c>
      <c r="N1954" s="13">
        <v>0</v>
      </c>
      <c r="O1954" s="15"/>
      <c r="P1954" s="6">
        <v>41073.710902777777</v>
      </c>
      <c r="Q1954" s="16" t="s">
        <v>2874</v>
      </c>
      <c r="R1954" s="17" t="s">
        <v>2875</v>
      </c>
      <c r="S1954" s="12"/>
      <c r="T1954" s="12"/>
      <c r="U1954" s="10" t="str">
        <f>HYPERLINK("https://pbs.twimg.com/profile_images/976067427938324480/fthZtvfS.jpg","View")</f>
        <v>View</v>
      </c>
    </row>
    <row r="1955" spans="1:21" ht="51">
      <c r="A1955" s="6">
        <v>43440.851493055554</v>
      </c>
      <c r="B1955" s="7" t="str">
        <f>HYPERLINK("https://twitter.com/cristia49638871","@cristia49638871")</f>
        <v>@cristia49638871</v>
      </c>
      <c r="C1955" s="8" t="s">
        <v>2585</v>
      </c>
      <c r="D1955" s="9" t="s">
        <v>6661</v>
      </c>
      <c r="E1955" s="10" t="str">
        <f>HYPERLINK("https://twitter.com/cristia49638871/status/1070761328674004993","1070761328674004993")</f>
        <v>1070761328674004993</v>
      </c>
      <c r="F1955" s="12"/>
      <c r="G1955" s="12"/>
      <c r="H1955" s="12"/>
      <c r="I1955" s="13">
        <v>0</v>
      </c>
      <c r="J1955" s="13">
        <v>0</v>
      </c>
      <c r="K1955" s="14" t="str">
        <f t="shared" si="346"/>
        <v>Twitter Web Client</v>
      </c>
      <c r="L1955" s="13">
        <v>12</v>
      </c>
      <c r="M1955" s="13">
        <v>570</v>
      </c>
      <c r="N1955" s="13">
        <v>0</v>
      </c>
      <c r="O1955" s="15"/>
      <c r="P1955" s="6">
        <v>41328.625231481477</v>
      </c>
      <c r="Q1955" s="16" t="s">
        <v>163</v>
      </c>
      <c r="R1955" s="19"/>
      <c r="S1955" s="12"/>
      <c r="T1955" s="12"/>
      <c r="U1955" s="10" t="str">
        <f>HYPERLINK("https://pbs.twimg.com/profile_images/3435873974/10d48fbeb25453f6c424ffb99516d193.png","View")</f>
        <v>View</v>
      </c>
    </row>
    <row r="1956" spans="1:21" ht="40.799999999999997">
      <c r="A1956" s="6">
        <v>43440.851435185185</v>
      </c>
      <c r="B1956" s="7" t="str">
        <f>HYPERLINK("https://twitter.com/Eloytxo","@Eloytxo")</f>
        <v>@Eloytxo</v>
      </c>
      <c r="C1956" s="8" t="s">
        <v>6662</v>
      </c>
      <c r="D1956" s="9" t="s">
        <v>6663</v>
      </c>
      <c r="E1956" s="10" t="str">
        <f>HYPERLINK("https://twitter.com/Eloytxo/status/1070761307081707521","1070761307081707521")</f>
        <v>1070761307081707521</v>
      </c>
      <c r="F1956" s="12"/>
      <c r="G1956" s="12"/>
      <c r="H1956" s="12"/>
      <c r="I1956" s="13">
        <v>0</v>
      </c>
      <c r="J1956" s="13">
        <v>3</v>
      </c>
      <c r="K1956" s="14" t="str">
        <f>HYPERLINK("http://twitter.com/download/android","Twitter for Android")</f>
        <v>Twitter for Android</v>
      </c>
      <c r="L1956" s="13">
        <v>189</v>
      </c>
      <c r="M1956" s="13">
        <v>428</v>
      </c>
      <c r="N1956" s="13">
        <v>1</v>
      </c>
      <c r="O1956" s="15"/>
      <c r="P1956" s="6">
        <v>40677.4378125</v>
      </c>
      <c r="Q1956" s="16" t="s">
        <v>6664</v>
      </c>
      <c r="R1956" s="17" t="s">
        <v>6665</v>
      </c>
      <c r="S1956" s="12"/>
      <c r="T1956" s="12"/>
      <c r="U1956" s="10" t="str">
        <f>HYPERLINK("https://pbs.twimg.com/profile_images/1014993998698766337/qpBecTMr.jpg","View")</f>
        <v>View</v>
      </c>
    </row>
    <row r="1957" spans="1:21" ht="40.799999999999997">
      <c r="A1957" s="6">
        <v>43440.851157407407</v>
      </c>
      <c r="B1957" s="7" t="str">
        <f>HYPERLINK("https://twitter.com/Jorge_Vilches","@Jorge_Vilches")</f>
        <v>@Jorge_Vilches</v>
      </c>
      <c r="C1957" s="8" t="s">
        <v>6666</v>
      </c>
      <c r="D1957" s="9" t="s">
        <v>6667</v>
      </c>
      <c r="E1957" s="10" t="str">
        <f>HYPERLINK("https://twitter.com/Jorge_Vilches/status/1070761209710948358","1070761209710948358")</f>
        <v>1070761209710948358</v>
      </c>
      <c r="F1957" s="12"/>
      <c r="G1957" s="11" t="s">
        <v>6668</v>
      </c>
      <c r="H1957" s="12"/>
      <c r="I1957" s="13">
        <v>18</v>
      </c>
      <c r="J1957" s="13">
        <v>22</v>
      </c>
      <c r="K1957" s="14" t="str">
        <f t="shared" ref="K1957:K1958" si="347">HYPERLINK("http://twitter.com","Twitter Web Client")</f>
        <v>Twitter Web Client</v>
      </c>
      <c r="L1957" s="13">
        <v>6385</v>
      </c>
      <c r="M1957" s="13">
        <v>1429</v>
      </c>
      <c r="N1957" s="13">
        <v>115</v>
      </c>
      <c r="O1957" s="15"/>
      <c r="P1957" s="6">
        <v>40658.619849537034</v>
      </c>
      <c r="Q1957" s="16" t="s">
        <v>200</v>
      </c>
      <c r="R1957" s="17" t="s">
        <v>6669</v>
      </c>
      <c r="S1957" s="12"/>
      <c r="T1957" s="12"/>
      <c r="U1957" s="10" t="str">
        <f>HYPERLINK("https://pbs.twimg.com/profile_images/795722966529142784/7Uxkgv09.jpg","View")</f>
        <v>View</v>
      </c>
    </row>
    <row r="1958" spans="1:21" ht="20.399999999999999">
      <c r="A1958" s="6">
        <v>43440.850914351853</v>
      </c>
      <c r="B1958" s="7" t="str">
        <f>HYPERLINK("https://twitter.com/los4tiempos","@los4tiempos")</f>
        <v>@los4tiempos</v>
      </c>
      <c r="C1958" s="8" t="s">
        <v>2365</v>
      </c>
      <c r="D1958" s="9" t="s">
        <v>5023</v>
      </c>
      <c r="E1958" s="10" t="str">
        <f>HYPERLINK("https://twitter.com/los4tiempos/status/1070761121278242816","1070761121278242816")</f>
        <v>1070761121278242816</v>
      </c>
      <c r="F1958" s="11" t="s">
        <v>6393</v>
      </c>
      <c r="G1958" s="12"/>
      <c r="H1958" s="12"/>
      <c r="I1958" s="13">
        <v>0</v>
      </c>
      <c r="J1958" s="13">
        <v>0</v>
      </c>
      <c r="K1958" s="14" t="str">
        <f t="shared" si="347"/>
        <v>Twitter Web Client</v>
      </c>
      <c r="L1958" s="13">
        <v>672</v>
      </c>
      <c r="M1958" s="13">
        <v>1885</v>
      </c>
      <c r="N1958" s="13">
        <v>8</v>
      </c>
      <c r="O1958" s="15"/>
      <c r="P1958" s="6">
        <v>40726.686689814815</v>
      </c>
      <c r="Q1958" s="16" t="s">
        <v>2367</v>
      </c>
      <c r="R1958" s="19"/>
      <c r="S1958" s="12"/>
      <c r="T1958" s="12"/>
      <c r="U1958" s="10" t="str">
        <f>HYPERLINK("https://pbs.twimg.com/profile_images/378800000007875161/7fcb5d50a8af1c3d0ebdbe51bd8cc22c.jpeg","View")</f>
        <v>View</v>
      </c>
    </row>
    <row r="1959" spans="1:21" ht="40.799999999999997">
      <c r="A1959" s="6">
        <v>43440.85020833333</v>
      </c>
      <c r="B1959" s="7" t="str">
        <f>HYPERLINK("https://twitter.com/GADManabi","@GADManabi")</f>
        <v>@GADManabi</v>
      </c>
      <c r="C1959" s="8" t="s">
        <v>6670</v>
      </c>
      <c r="D1959" s="9" t="s">
        <v>6671</v>
      </c>
      <c r="E1959" s="10" t="str">
        <f>HYPERLINK("https://twitter.com/GADManabi/status/1070760862640717825","1070760862640717825")</f>
        <v>1070760862640717825</v>
      </c>
      <c r="F1959" s="12"/>
      <c r="G1959" s="11" t="s">
        <v>6673</v>
      </c>
      <c r="H1959" s="12"/>
      <c r="I1959" s="13">
        <v>1</v>
      </c>
      <c r="J1959" s="13">
        <v>1</v>
      </c>
      <c r="K1959" s="14" t="str">
        <f>HYPERLINK("http://twitter.com/download/android","Twitter for Android")</f>
        <v>Twitter for Android</v>
      </c>
      <c r="L1959" s="13">
        <v>28474</v>
      </c>
      <c r="M1959" s="13">
        <v>1031</v>
      </c>
      <c r="N1959" s="13">
        <v>105</v>
      </c>
      <c r="O1959" s="15"/>
      <c r="P1959" s="6">
        <v>39972.887546296297</v>
      </c>
      <c r="Q1959" s="16" t="s">
        <v>6674</v>
      </c>
      <c r="R1959" s="17" t="s">
        <v>6675</v>
      </c>
      <c r="S1959" s="11" t="s">
        <v>6676</v>
      </c>
      <c r="T1959" s="12"/>
      <c r="U1959" s="10" t="str">
        <f>HYPERLINK("https://pbs.twimg.com/profile_images/986786762411397120/XYat1kK-.jpg","View")</f>
        <v>View</v>
      </c>
    </row>
    <row r="1960" spans="1:21" ht="51">
      <c r="A1960" s="6">
        <v>43440.848993055552</v>
      </c>
      <c r="B1960" s="7" t="str">
        <f>HYPERLINK("https://twitter.com/cristia49638871","@cristia49638871")</f>
        <v>@cristia49638871</v>
      </c>
      <c r="C1960" s="8" t="s">
        <v>2585</v>
      </c>
      <c r="D1960" s="9" t="s">
        <v>6677</v>
      </c>
      <c r="E1960" s="10" t="str">
        <f>HYPERLINK("https://twitter.com/cristia49638871/status/1070760424465989632","1070760424465989632")</f>
        <v>1070760424465989632</v>
      </c>
      <c r="F1960" s="12"/>
      <c r="G1960" s="12"/>
      <c r="H1960" s="12"/>
      <c r="I1960" s="13">
        <v>0</v>
      </c>
      <c r="J1960" s="13">
        <v>0</v>
      </c>
      <c r="K1960" s="14" t="str">
        <f t="shared" ref="K1960:K1961" si="348">HYPERLINK("http://twitter.com","Twitter Web Client")</f>
        <v>Twitter Web Client</v>
      </c>
      <c r="L1960" s="13">
        <v>12</v>
      </c>
      <c r="M1960" s="13">
        <v>570</v>
      </c>
      <c r="N1960" s="13">
        <v>0</v>
      </c>
      <c r="O1960" s="15"/>
      <c r="P1960" s="6">
        <v>41328.625231481477</v>
      </c>
      <c r="Q1960" s="16" t="s">
        <v>163</v>
      </c>
      <c r="R1960" s="19"/>
      <c r="S1960" s="12"/>
      <c r="T1960" s="12"/>
      <c r="U1960" s="10" t="str">
        <f>HYPERLINK("https://pbs.twimg.com/profile_images/3435873974/10d48fbeb25453f6c424ffb99516d193.png","View")</f>
        <v>View</v>
      </c>
    </row>
    <row r="1961" spans="1:21" ht="40.799999999999997">
      <c r="A1961" s="6">
        <v>43440.847731481481</v>
      </c>
      <c r="B1961" s="7" t="str">
        <f>HYPERLINK("https://twitter.com/G_landaburu","@G_landaburu")</f>
        <v>@G_landaburu</v>
      </c>
      <c r="C1961" s="8" t="s">
        <v>6678</v>
      </c>
      <c r="D1961" s="9" t="s">
        <v>6679</v>
      </c>
      <c r="E1961" s="10" t="str">
        <f>HYPERLINK("https://twitter.com/G_landaburu/status/1070759968628985856","1070759968628985856")</f>
        <v>1070759968628985856</v>
      </c>
      <c r="F1961" s="11" t="s">
        <v>6680</v>
      </c>
      <c r="G1961" s="12"/>
      <c r="H1961" s="12"/>
      <c r="I1961" s="13">
        <v>0</v>
      </c>
      <c r="J1961" s="13">
        <v>0</v>
      </c>
      <c r="K1961" s="14" t="str">
        <f t="shared" si="348"/>
        <v>Twitter Web Client</v>
      </c>
      <c r="L1961" s="13">
        <v>29982</v>
      </c>
      <c r="M1961" s="13">
        <v>1182</v>
      </c>
      <c r="N1961" s="13">
        <v>777</v>
      </c>
      <c r="O1961" s="15"/>
      <c r="P1961" s="6">
        <v>40584.822789351849</v>
      </c>
      <c r="Q1961" s="16" t="s">
        <v>6681</v>
      </c>
      <c r="R1961" s="17" t="s">
        <v>6682</v>
      </c>
      <c r="S1961" s="12"/>
      <c r="T1961" s="12"/>
      <c r="U1961" s="10" t="str">
        <f>HYPERLINK("https://pbs.twimg.com/profile_images/698513305384652800/DM4iMyF6.jpg","View")</f>
        <v>View</v>
      </c>
    </row>
    <row r="1962" spans="1:21" ht="91.8">
      <c r="A1962" s="6">
        <v>43440.84756944445</v>
      </c>
      <c r="B1962" s="7" t="str">
        <f>HYPERLINK("https://twitter.com/manuel_llamas","@manuel_llamas")</f>
        <v>@manuel_llamas</v>
      </c>
      <c r="C1962" s="8" t="s">
        <v>5158</v>
      </c>
      <c r="D1962" s="9" t="s">
        <v>6683</v>
      </c>
      <c r="E1962" s="10" t="str">
        <f>HYPERLINK("https://twitter.com/manuel_llamas/status/1070759908423991297","1070759908423991297")</f>
        <v>1070759908423991297</v>
      </c>
      <c r="F1962" s="11" t="s">
        <v>54</v>
      </c>
      <c r="G1962" s="11" t="s">
        <v>55</v>
      </c>
      <c r="H1962" s="12"/>
      <c r="I1962" s="13">
        <v>115</v>
      </c>
      <c r="J1962" s="13">
        <v>174</v>
      </c>
      <c r="K1962" s="14" t="str">
        <f t="shared" ref="K1962:K1963" si="349">HYPERLINK("http://twitter.com/download/android","Twitter for Android")</f>
        <v>Twitter for Android</v>
      </c>
      <c r="L1962" s="13">
        <v>30968</v>
      </c>
      <c r="M1962" s="13">
        <v>370</v>
      </c>
      <c r="N1962" s="13">
        <v>688</v>
      </c>
      <c r="O1962" s="15"/>
      <c r="P1962" s="6">
        <v>40079.814305555556</v>
      </c>
      <c r="Q1962" s="16" t="s">
        <v>60</v>
      </c>
      <c r="R1962" s="17" t="s">
        <v>5159</v>
      </c>
      <c r="S1962" s="11" t="s">
        <v>5160</v>
      </c>
      <c r="T1962" s="12"/>
      <c r="U1962" s="10" t="str">
        <f>HYPERLINK("https://pbs.twimg.com/profile_images/1278365489/fotoperfil.jpg","View")</f>
        <v>View</v>
      </c>
    </row>
    <row r="1963" spans="1:21" ht="112.2">
      <c r="A1963" s="6">
        <v>43440.846759259264</v>
      </c>
      <c r="B1963" s="7" t="str">
        <f>HYPERLINK("https://twitter.com/VictoriaAntnGa5","@VictoriaAntnGa5")</f>
        <v>@VictoriaAntnGa5</v>
      </c>
      <c r="C1963" s="8" t="s">
        <v>6684</v>
      </c>
      <c r="D1963" s="9" t="s">
        <v>6685</v>
      </c>
      <c r="E1963" s="10" t="str">
        <f>HYPERLINK("https://twitter.com/VictoriaAntnGa5/status/1070759616001257472","1070759616001257472")</f>
        <v>1070759616001257472</v>
      </c>
      <c r="F1963" s="11" t="s">
        <v>6686</v>
      </c>
      <c r="G1963" s="12"/>
      <c r="H1963" s="12"/>
      <c r="I1963" s="13">
        <v>32</v>
      </c>
      <c r="J1963" s="13">
        <v>39</v>
      </c>
      <c r="K1963" s="14" t="str">
        <f t="shared" si="349"/>
        <v>Twitter for Android</v>
      </c>
      <c r="L1963" s="13">
        <v>1776</v>
      </c>
      <c r="M1963" s="13">
        <v>2258</v>
      </c>
      <c r="N1963" s="13">
        <v>5</v>
      </c>
      <c r="O1963" s="15"/>
      <c r="P1963" s="6">
        <v>42769.993761574078</v>
      </c>
      <c r="Q1963" s="16" t="s">
        <v>6687</v>
      </c>
      <c r="R1963" s="17" t="s">
        <v>6688</v>
      </c>
      <c r="S1963" s="12"/>
      <c r="T1963" s="12"/>
      <c r="U1963" s="10" t="str">
        <f>HYPERLINK("https://pbs.twimg.com/profile_images/888433154805116929/S8Lg77Rr.jpg","View")</f>
        <v>View</v>
      </c>
    </row>
    <row r="1964" spans="1:21" ht="20.399999999999999">
      <c r="A1964" s="6">
        <v>43440.846631944441</v>
      </c>
      <c r="B1964" s="7" t="str">
        <f>HYPERLINK("https://twitter.com/CristoFeliz1","@CristoFeliz1")</f>
        <v>@CristoFeliz1</v>
      </c>
      <c r="C1964" s="8" t="s">
        <v>646</v>
      </c>
      <c r="D1964" s="9" t="s">
        <v>6111</v>
      </c>
      <c r="E1964" s="10" t="str">
        <f>HYPERLINK("https://twitter.com/CristoFeliz1/status/1070759567431090176","1070759567431090176")</f>
        <v>1070759567431090176</v>
      </c>
      <c r="F1964" s="11" t="s">
        <v>6689</v>
      </c>
      <c r="G1964" s="11" t="s">
        <v>6690</v>
      </c>
      <c r="H1964" s="12"/>
      <c r="I1964" s="13">
        <v>0</v>
      </c>
      <c r="J1964" s="13">
        <v>0</v>
      </c>
      <c r="K1964" s="14" t="str">
        <f>HYPERLINK("https://dlvrit.com/","dlvr.it")</f>
        <v>dlvr.it</v>
      </c>
      <c r="L1964" s="13">
        <v>7015</v>
      </c>
      <c r="M1964" s="13">
        <v>7733</v>
      </c>
      <c r="N1964" s="13">
        <v>561</v>
      </c>
      <c r="O1964" s="15"/>
      <c r="P1964" s="6">
        <v>41186.866469907407</v>
      </c>
      <c r="Q1964" s="16" t="s">
        <v>630</v>
      </c>
      <c r="R1964" s="17" t="s">
        <v>649</v>
      </c>
      <c r="S1964" s="12"/>
      <c r="T1964" s="12"/>
      <c r="U1964" s="10" t="str">
        <f>HYPERLINK("https://pbs.twimg.com/profile_images/1002564938911703040/1Wvxy6Jm.jpg","View")</f>
        <v>View</v>
      </c>
    </row>
    <row r="1965" spans="1:21" ht="30.6">
      <c r="A1965" s="6">
        <v>43440.846412037034</v>
      </c>
      <c r="B1965" s="7" t="str">
        <f>HYPERLINK("https://twitter.com/ChezNieto","@ChezNieto")</f>
        <v>@ChezNieto</v>
      </c>
      <c r="C1965" s="8" t="s">
        <v>42</v>
      </c>
      <c r="D1965" s="9" t="s">
        <v>6693</v>
      </c>
      <c r="E1965" s="10" t="str">
        <f>HYPERLINK("https://twitter.com/ChezNieto/status/1070759490029584384","1070759490029584384")</f>
        <v>1070759490029584384</v>
      </c>
      <c r="F1965" s="12"/>
      <c r="G1965" s="12"/>
      <c r="H1965" s="12"/>
      <c r="I1965" s="13">
        <v>0</v>
      </c>
      <c r="J1965" s="13">
        <v>1</v>
      </c>
      <c r="K1965" s="14" t="str">
        <f t="shared" ref="K1965:K1966" si="350">HYPERLINK("http://twitter.com","Twitter Web Client")</f>
        <v>Twitter Web Client</v>
      </c>
      <c r="L1965" s="13">
        <v>5087</v>
      </c>
      <c r="M1965" s="13">
        <v>4782</v>
      </c>
      <c r="N1965" s="13">
        <v>50</v>
      </c>
      <c r="O1965" s="15"/>
      <c r="P1965" s="6">
        <v>41341.600729166668</v>
      </c>
      <c r="Q1965" s="16" t="s">
        <v>60</v>
      </c>
      <c r="R1965" s="17" t="s">
        <v>2826</v>
      </c>
      <c r="S1965" s="12"/>
      <c r="T1965" s="12"/>
      <c r="U1965" s="10" t="str">
        <f>HYPERLINK("https://pbs.twimg.com/profile_images/3750051142/df497636f6b21e0abf733a0e65a50087.jpeg","View")</f>
        <v>View</v>
      </c>
    </row>
    <row r="1966" spans="1:21" ht="51">
      <c r="A1966" s="6">
        <v>43440.846238425926</v>
      </c>
      <c r="B1966" s="7" t="str">
        <f>HYPERLINK("https://twitter.com/cristia49638871","@cristia49638871")</f>
        <v>@cristia49638871</v>
      </c>
      <c r="C1966" s="8" t="s">
        <v>2585</v>
      </c>
      <c r="D1966" s="9" t="s">
        <v>6694</v>
      </c>
      <c r="E1966" s="10" t="str">
        <f>HYPERLINK("https://twitter.com/cristia49638871/status/1070759426838196226","1070759426838196226")</f>
        <v>1070759426838196226</v>
      </c>
      <c r="F1966" s="12"/>
      <c r="G1966" s="12"/>
      <c r="H1966" s="12"/>
      <c r="I1966" s="13">
        <v>0</v>
      </c>
      <c r="J1966" s="13">
        <v>0</v>
      </c>
      <c r="K1966" s="14" t="str">
        <f t="shared" si="350"/>
        <v>Twitter Web Client</v>
      </c>
      <c r="L1966" s="13">
        <v>12</v>
      </c>
      <c r="M1966" s="13">
        <v>570</v>
      </c>
      <c r="N1966" s="13">
        <v>0</v>
      </c>
      <c r="O1966" s="15"/>
      <c r="P1966" s="6">
        <v>41328.625231481477</v>
      </c>
      <c r="Q1966" s="16" t="s">
        <v>163</v>
      </c>
      <c r="R1966" s="19"/>
      <c r="S1966" s="12"/>
      <c r="T1966" s="12"/>
      <c r="U1966" s="10" t="str">
        <f>HYPERLINK("https://pbs.twimg.com/profile_images/3435873974/10d48fbeb25453f6c424ffb99516d193.png","View")</f>
        <v>View</v>
      </c>
    </row>
    <row r="1967" spans="1:21" ht="40.799999999999997">
      <c r="A1967" s="6">
        <v>43440.845000000001</v>
      </c>
      <c r="B1967" s="7" t="str">
        <f>HYPERLINK("https://twitter.com/malaquita65","@malaquita65")</f>
        <v>@malaquita65</v>
      </c>
      <c r="C1967" s="8" t="s">
        <v>3476</v>
      </c>
      <c r="D1967" s="9" t="s">
        <v>6695</v>
      </c>
      <c r="E1967" s="10" t="str">
        <f>HYPERLINK("https://twitter.com/malaquita65/status/1070758977754021889","1070758977754021889")</f>
        <v>1070758977754021889</v>
      </c>
      <c r="F1967" s="11" t="s">
        <v>6393</v>
      </c>
      <c r="G1967" s="12"/>
      <c r="H1967" s="12"/>
      <c r="I1967" s="13">
        <v>0</v>
      </c>
      <c r="J1967" s="13">
        <v>1</v>
      </c>
      <c r="K1967" s="14" t="str">
        <f>HYPERLINK("http://twitter.com/download/android","Twitter for Android")</f>
        <v>Twitter for Android</v>
      </c>
      <c r="L1967" s="13">
        <v>6012</v>
      </c>
      <c r="M1967" s="13">
        <v>4309</v>
      </c>
      <c r="N1967" s="13">
        <v>89</v>
      </c>
      <c r="O1967" s="15"/>
      <c r="P1967" s="6">
        <v>40784.585601851853</v>
      </c>
      <c r="Q1967" s="16" t="s">
        <v>1136</v>
      </c>
      <c r="R1967" s="17" t="s">
        <v>3477</v>
      </c>
      <c r="S1967" s="12"/>
      <c r="T1967" s="12"/>
      <c r="U1967" s="10" t="str">
        <f>HYPERLINK("https://pbs.twimg.com/profile_images/1063529926433939459/IfX_aAx1.jpg","View")</f>
        <v>View</v>
      </c>
    </row>
    <row r="1968" spans="1:21" ht="20.399999999999999">
      <c r="A1968" s="6">
        <v>43440.844351851847</v>
      </c>
      <c r="B1968" s="7" t="str">
        <f>HYPERLINK("https://twitter.com/ja__camp","@ja__camp")</f>
        <v>@ja__camp</v>
      </c>
      <c r="C1968" s="8" t="s">
        <v>6696</v>
      </c>
      <c r="D1968" s="9" t="s">
        <v>3897</v>
      </c>
      <c r="E1968" s="10" t="str">
        <f>HYPERLINK("https://twitter.com/ja__camp/status/1070758743229587456","1070758743229587456")</f>
        <v>1070758743229587456</v>
      </c>
      <c r="F1968" s="11" t="s">
        <v>6697</v>
      </c>
      <c r="G1968" s="12"/>
      <c r="H1968" s="12"/>
      <c r="I1968" s="13">
        <v>0</v>
      </c>
      <c r="J1968" s="13">
        <v>0</v>
      </c>
      <c r="K1968" s="14" t="str">
        <f>HYPERLINK("http://twitter.com/download/iphone","Twitter for iPhone")</f>
        <v>Twitter for iPhone</v>
      </c>
      <c r="L1968" s="13">
        <v>817</v>
      </c>
      <c r="M1968" s="13">
        <v>1225</v>
      </c>
      <c r="N1968" s="13">
        <v>17</v>
      </c>
      <c r="O1968" s="15"/>
      <c r="P1968" s="6">
        <v>40774.670613425929</v>
      </c>
      <c r="Q1968" s="12"/>
      <c r="R1968" s="17" t="s">
        <v>6698</v>
      </c>
      <c r="S1968" s="12"/>
      <c r="T1968" s="12"/>
      <c r="U1968" s="10" t="str">
        <f>HYPERLINK("https://pbs.twimg.com/profile_images/1041234303974367232/7dLx6LXF.jpg","View")</f>
        <v>View</v>
      </c>
    </row>
    <row r="1969" spans="1:21" ht="30.6">
      <c r="A1969" s="6">
        <v>43440.844259259262</v>
      </c>
      <c r="B1969" s="7" t="str">
        <f>HYPERLINK("https://twitter.com/carrucass","@carrucass")</f>
        <v>@carrucass</v>
      </c>
      <c r="C1969" s="8" t="s">
        <v>6699</v>
      </c>
      <c r="D1969" s="9" t="s">
        <v>6700</v>
      </c>
      <c r="E1969" s="10" t="str">
        <f>HYPERLINK("https://twitter.com/carrucass/status/1070758706722336769","1070758706722336769")</f>
        <v>1070758706722336769</v>
      </c>
      <c r="F1969" s="11" t="s">
        <v>6701</v>
      </c>
      <c r="G1969" s="12"/>
      <c r="H1969" s="12"/>
      <c r="I1969" s="13">
        <v>2</v>
      </c>
      <c r="J1969" s="13">
        <v>0</v>
      </c>
      <c r="K1969" s="14" t="str">
        <f>HYPERLINK("http://twitter.com","Twitter Web Client")</f>
        <v>Twitter Web Client</v>
      </c>
      <c r="L1969" s="13">
        <v>1295</v>
      </c>
      <c r="M1969" s="13">
        <v>1315</v>
      </c>
      <c r="N1969" s="13">
        <v>17</v>
      </c>
      <c r="O1969" s="15"/>
      <c r="P1969" s="6">
        <v>40141.817256944443</v>
      </c>
      <c r="Q1969" s="16" t="s">
        <v>60</v>
      </c>
      <c r="R1969" s="17" t="s">
        <v>6702</v>
      </c>
      <c r="S1969" s="12"/>
      <c r="T1969" s="12"/>
      <c r="U1969" s="10" t="str">
        <f>HYPERLINK("https://pbs.twimg.com/profile_images/1010196103583629317/xF4nLg3-.jpg","View")</f>
        <v>View</v>
      </c>
    </row>
    <row r="1970" spans="1:21" ht="30.6">
      <c r="A1970" s="6">
        <v>43440.84376157407</v>
      </c>
      <c r="B1970" s="7" t="str">
        <f>HYPERLINK("https://twitter.com/laSextaTV","@laSextaTV")</f>
        <v>@laSextaTV</v>
      </c>
      <c r="C1970" s="8" t="s">
        <v>3737</v>
      </c>
      <c r="D1970" s="9" t="s">
        <v>6703</v>
      </c>
      <c r="E1970" s="10" t="str">
        <f>HYPERLINK("https://twitter.com/laSextaTV/status/1070758526312685568","1070758526312685568")</f>
        <v>1070758526312685568</v>
      </c>
      <c r="F1970" s="11" t="s">
        <v>6704</v>
      </c>
      <c r="G1970" s="12"/>
      <c r="H1970" s="12"/>
      <c r="I1970" s="13">
        <v>3</v>
      </c>
      <c r="J1970" s="13">
        <v>9</v>
      </c>
      <c r="K1970" s="14" t="str">
        <f>HYPERLINK("http://dogtrack.es","DogTrack_Oficial")</f>
        <v>DogTrack_Oficial</v>
      </c>
      <c r="L1970" s="13">
        <v>915225</v>
      </c>
      <c r="M1970" s="13">
        <v>307</v>
      </c>
      <c r="N1970" s="13">
        <v>5854</v>
      </c>
      <c r="O1970" s="18" t="s">
        <v>41</v>
      </c>
      <c r="P1970" s="6">
        <v>39877.804710648146</v>
      </c>
      <c r="Q1970" s="16" t="s">
        <v>119</v>
      </c>
      <c r="R1970" s="17" t="s">
        <v>3740</v>
      </c>
      <c r="S1970" s="11" t="s">
        <v>3741</v>
      </c>
      <c r="T1970" s="12"/>
      <c r="U1970" s="10" t="str">
        <f>HYPERLINK("https://pbs.twimg.com/profile_images/898966361426231296/0sS0RzFh.jpg","View")</f>
        <v>View</v>
      </c>
    </row>
    <row r="1971" spans="1:21" ht="30.6">
      <c r="A1971" s="6">
        <v>43440.843506944446</v>
      </c>
      <c r="B1971" s="7" t="str">
        <f>HYPERLINK("https://twitter.com/periodicovzlano","@periodicovzlano")</f>
        <v>@periodicovzlano</v>
      </c>
      <c r="C1971" s="8" t="s">
        <v>869</v>
      </c>
      <c r="D1971" s="9" t="s">
        <v>3001</v>
      </c>
      <c r="E1971" s="10" t="str">
        <f>HYPERLINK("https://twitter.com/periodicovzlano/status/1070758437162758144","1070758437162758144")</f>
        <v>1070758437162758144</v>
      </c>
      <c r="F1971" s="11" t="s">
        <v>2757</v>
      </c>
      <c r="G1971" s="11" t="s">
        <v>6705</v>
      </c>
      <c r="H1971" s="12"/>
      <c r="I1971" s="13">
        <v>0</v>
      </c>
      <c r="J1971" s="13">
        <v>0</v>
      </c>
      <c r="K1971" s="14" t="str">
        <f>HYPERLINK("http://epmundo.com","Tuiteo TOP EP (1)")</f>
        <v>Tuiteo TOP EP (1)</v>
      </c>
      <c r="L1971" s="13">
        <v>479694</v>
      </c>
      <c r="M1971" s="13">
        <v>358804</v>
      </c>
      <c r="N1971" s="13">
        <v>1295</v>
      </c>
      <c r="O1971" s="15"/>
      <c r="P1971" s="6">
        <v>40663.3512962963</v>
      </c>
      <c r="Q1971" s="16" t="s">
        <v>871</v>
      </c>
      <c r="R1971" s="17" t="s">
        <v>872</v>
      </c>
      <c r="S1971" s="11" t="s">
        <v>873</v>
      </c>
      <c r="T1971" s="12"/>
      <c r="U1971" s="10" t="str">
        <f>HYPERLINK("https://pbs.twimg.com/profile_images/958328579250638849/MCz7Q8U6.jpg","View")</f>
        <v>View</v>
      </c>
    </row>
    <row r="1972" spans="1:21" ht="30.6">
      <c r="A1972" s="6">
        <v>43440.843402777777</v>
      </c>
      <c r="B1972" s="7" t="str">
        <f>HYPERLINK("https://twitter.com/ENCARNITAFR","@ENCARNITAFR")</f>
        <v>@ENCARNITAFR</v>
      </c>
      <c r="C1972" s="8" t="s">
        <v>6706</v>
      </c>
      <c r="D1972" s="9" t="s">
        <v>2213</v>
      </c>
      <c r="E1972" s="10" t="str">
        <f>HYPERLINK("https://twitter.com/ENCARNITAFR/status/1070758397383974912","1070758397383974912")</f>
        <v>1070758397383974912</v>
      </c>
      <c r="F1972" s="11" t="s">
        <v>2214</v>
      </c>
      <c r="G1972" s="12"/>
      <c r="H1972" s="12"/>
      <c r="I1972" s="13">
        <v>0</v>
      </c>
      <c r="J1972" s="13">
        <v>0</v>
      </c>
      <c r="K1972" s="14" t="str">
        <f>HYPERLINK("http://twitter.com","Twitter Web Client")</f>
        <v>Twitter Web Client</v>
      </c>
      <c r="L1972" s="13">
        <v>738</v>
      </c>
      <c r="M1972" s="13">
        <v>884</v>
      </c>
      <c r="N1972" s="13">
        <v>8</v>
      </c>
      <c r="O1972" s="15"/>
      <c r="P1972" s="6">
        <v>41323.777638888889</v>
      </c>
      <c r="Q1972" s="16" t="s">
        <v>143</v>
      </c>
      <c r="R1972" s="17" t="s">
        <v>6707</v>
      </c>
      <c r="S1972" s="12"/>
      <c r="T1972" s="12"/>
      <c r="U1972" s="10" t="str">
        <f>HYPERLINK("https://pbs.twimg.com/profile_images/3534713649/2fc3f1fdaacdc29fea3b11d6800f3d62.jpeg","View")</f>
        <v>View</v>
      </c>
    </row>
    <row r="1973" spans="1:21" ht="40.799999999999997">
      <c r="A1973" s="6">
        <v>43440.842719907407</v>
      </c>
      <c r="B1973" s="7" t="str">
        <f>HYPERLINK("https://twitter.com/jaumeors","@jaumeors")</f>
        <v>@jaumeors</v>
      </c>
      <c r="C1973" s="8" t="s">
        <v>6708</v>
      </c>
      <c r="D1973" s="9" t="s">
        <v>6709</v>
      </c>
      <c r="E1973" s="10" t="str">
        <f>HYPERLINK("https://twitter.com/jaumeors/status/1070758151706869760","1070758151706869760")</f>
        <v>1070758151706869760</v>
      </c>
      <c r="F1973" s="11" t="s">
        <v>6478</v>
      </c>
      <c r="G1973" s="12"/>
      <c r="H1973" s="12"/>
      <c r="I1973" s="13">
        <v>0</v>
      </c>
      <c r="J1973" s="13">
        <v>0</v>
      </c>
      <c r="K1973" s="14" t="str">
        <f>HYPERLINK("http://twitter.com/download/android","Twitter for Android")</f>
        <v>Twitter for Android</v>
      </c>
      <c r="L1973" s="13">
        <v>2353</v>
      </c>
      <c r="M1973" s="13">
        <v>1761</v>
      </c>
      <c r="N1973" s="13">
        <v>35</v>
      </c>
      <c r="O1973" s="15"/>
      <c r="P1973" s="6">
        <v>40804.792037037041</v>
      </c>
      <c r="Q1973" s="16" t="s">
        <v>87</v>
      </c>
      <c r="R1973" s="17" t="s">
        <v>6710</v>
      </c>
      <c r="S1973" s="12"/>
      <c r="T1973" s="12"/>
      <c r="U1973" s="10" t="str">
        <f>HYPERLINK("https://pbs.twimg.com/profile_images/1070856399289225217/TWix4zbV.jpg","View")</f>
        <v>View</v>
      </c>
    </row>
    <row r="1974" spans="1:21" ht="51">
      <c r="A1974" s="6">
        <v>43440.841724537036</v>
      </c>
      <c r="B1974" s="7" t="str">
        <f>HYPERLINK("https://twitter.com/carlosbernuy","@carlosbernuy")</f>
        <v>@carlosbernuy</v>
      </c>
      <c r="C1974" s="8" t="s">
        <v>2018</v>
      </c>
      <c r="D1974" s="9" t="s">
        <v>6711</v>
      </c>
      <c r="E1974" s="10" t="str">
        <f>HYPERLINK("https://twitter.com/carlosbernuy/status/1070757787993554944","1070757787993554944")</f>
        <v>1070757787993554944</v>
      </c>
      <c r="F1974" s="11" t="s">
        <v>3202</v>
      </c>
      <c r="G1974" s="12"/>
      <c r="H1974" s="12"/>
      <c r="I1974" s="13">
        <v>0</v>
      </c>
      <c r="J1974" s="13">
        <v>0</v>
      </c>
      <c r="K1974" s="14" t="str">
        <f>HYPERLINK("http://twitter.com","Twitter Web Client")</f>
        <v>Twitter Web Client</v>
      </c>
      <c r="L1974" s="13">
        <v>431</v>
      </c>
      <c r="M1974" s="13">
        <v>647</v>
      </c>
      <c r="N1974" s="13">
        <v>22</v>
      </c>
      <c r="O1974" s="15"/>
      <c r="P1974" s="6">
        <v>40311.532118055555</v>
      </c>
      <c r="Q1974" s="16" t="s">
        <v>2022</v>
      </c>
      <c r="R1974" s="17" t="s">
        <v>2023</v>
      </c>
      <c r="S1974" s="11" t="s">
        <v>2024</v>
      </c>
      <c r="T1974" s="12"/>
      <c r="U1974" s="10" t="str">
        <f>HYPERLINK("https://pbs.twimg.com/profile_images/807917819920809985/786gJySp.jpg","View")</f>
        <v>View</v>
      </c>
    </row>
    <row r="1975" spans="1:21" ht="40.799999999999997">
      <c r="A1975" s="6">
        <v>43440.841446759259</v>
      </c>
      <c r="B1975" s="7" t="str">
        <f>HYPERLINK("https://twitter.com/PerdigueroSIPEp","@PerdigueroSIPEp")</f>
        <v>@PerdigueroSIPEp</v>
      </c>
      <c r="C1975" s="8" t="s">
        <v>6712</v>
      </c>
      <c r="D1975" s="9" t="s">
        <v>6713</v>
      </c>
      <c r="E1975" s="10" t="str">
        <f>HYPERLINK("https://twitter.com/PerdigueroSIPEp/status/1070757687204429828","1070757687204429828")</f>
        <v>1070757687204429828</v>
      </c>
      <c r="F1975" s="11" t="s">
        <v>3177</v>
      </c>
      <c r="G1975" s="11" t="s">
        <v>3180</v>
      </c>
      <c r="H1975" s="12"/>
      <c r="I1975" s="13">
        <v>1014</v>
      </c>
      <c r="J1975" s="13">
        <v>1398</v>
      </c>
      <c r="K1975" s="14" t="str">
        <f t="shared" ref="K1975:K1977" si="351">HYPERLINK("http://twitter.com/download/android","Twitter for Android")</f>
        <v>Twitter for Android</v>
      </c>
      <c r="L1975" s="13">
        <v>21022</v>
      </c>
      <c r="M1975" s="13">
        <v>719</v>
      </c>
      <c r="N1975" s="13">
        <v>123</v>
      </c>
      <c r="O1975" s="15"/>
      <c r="P1975" s="6">
        <v>42737.827673611115</v>
      </c>
      <c r="Q1975" s="16" t="s">
        <v>26</v>
      </c>
      <c r="R1975" s="17" t="s">
        <v>6714</v>
      </c>
      <c r="S1975" s="11" t="s">
        <v>6715</v>
      </c>
      <c r="T1975" s="12"/>
      <c r="U1975" s="10" t="str">
        <f>HYPERLINK("https://pbs.twimg.com/profile_images/818534525043179521/qGjb-bg-.jpg","View")</f>
        <v>View</v>
      </c>
    </row>
    <row r="1976" spans="1:21" ht="30.6">
      <c r="A1976" s="6">
        <v>43440.840624999997</v>
      </c>
      <c r="B1976" s="7" t="str">
        <f>HYPERLINK("https://twitter.com/ValentinIglsias","@ValentinIglsias")</f>
        <v>@ValentinIglsias</v>
      </c>
      <c r="C1976" s="8" t="s">
        <v>6716</v>
      </c>
      <c r="D1976" s="9" t="s">
        <v>6717</v>
      </c>
      <c r="E1976" s="10" t="str">
        <f>HYPERLINK("https://twitter.com/ValentinIglsias/status/1070757392051249153","1070757392051249153")</f>
        <v>1070757392051249153</v>
      </c>
      <c r="F1976" s="11" t="s">
        <v>6718</v>
      </c>
      <c r="G1976" s="12"/>
      <c r="H1976" s="12"/>
      <c r="I1976" s="13">
        <v>0</v>
      </c>
      <c r="J1976" s="13">
        <v>0</v>
      </c>
      <c r="K1976" s="14" t="str">
        <f t="shared" si="351"/>
        <v>Twitter for Android</v>
      </c>
      <c r="L1976" s="13">
        <v>47</v>
      </c>
      <c r="M1976" s="13">
        <v>142</v>
      </c>
      <c r="N1976" s="13">
        <v>0</v>
      </c>
      <c r="O1976" s="15"/>
      <c r="P1976" s="6">
        <v>42931.562731481477</v>
      </c>
      <c r="Q1976" s="16" t="s">
        <v>6719</v>
      </c>
      <c r="R1976" s="17" t="s">
        <v>6720</v>
      </c>
      <c r="S1976" s="12"/>
      <c r="T1976" s="12"/>
      <c r="U1976" s="10" t="str">
        <f>HYPERLINK("https://pbs.twimg.com/profile_images/1059419703096107008/DmDy8DKy.jpg","View")</f>
        <v>View</v>
      </c>
    </row>
    <row r="1977" spans="1:21" ht="20.399999999999999">
      <c r="A1977" s="6">
        <v>43440.840428240743</v>
      </c>
      <c r="B1977" s="7" t="str">
        <f>HYPERLINK("https://twitter.com/fjmerid","@fjmerid")</f>
        <v>@fjmerid</v>
      </c>
      <c r="C1977" s="8" t="s">
        <v>6721</v>
      </c>
      <c r="D1977" s="9" t="s">
        <v>6722</v>
      </c>
      <c r="E1977" s="10" t="str">
        <f>HYPERLINK("https://twitter.com/fjmerid/status/1070757318843949056","1070757318843949056")</f>
        <v>1070757318843949056</v>
      </c>
      <c r="F1977" s="11" t="s">
        <v>6723</v>
      </c>
      <c r="G1977" s="12"/>
      <c r="H1977" s="12"/>
      <c r="I1977" s="13">
        <v>0</v>
      </c>
      <c r="J1977" s="13">
        <v>0</v>
      </c>
      <c r="K1977" s="14" t="str">
        <f t="shared" si="351"/>
        <v>Twitter for Android</v>
      </c>
      <c r="L1977" s="13">
        <v>3602</v>
      </c>
      <c r="M1977" s="13">
        <v>4624</v>
      </c>
      <c r="N1977" s="13">
        <v>36</v>
      </c>
      <c r="O1977" s="15"/>
      <c r="P1977" s="6">
        <v>40267.395937499998</v>
      </c>
      <c r="Q1977" s="12"/>
      <c r="R1977" s="19"/>
      <c r="S1977" s="12"/>
      <c r="T1977" s="12"/>
      <c r="U1977" s="10" t="str">
        <f>HYPERLINK("https://pbs.twimg.com/profile_images/1894161557/image.jpg","View")</f>
        <v>View</v>
      </c>
    </row>
    <row r="1978" spans="1:21" ht="30.6">
      <c r="A1978" s="6">
        <v>43440.840266203704</v>
      </c>
      <c r="B1978" s="7" t="str">
        <f>HYPERLINK("https://twitter.com/ChezNieto","@ChezNieto")</f>
        <v>@ChezNieto</v>
      </c>
      <c r="C1978" s="8" t="s">
        <v>42</v>
      </c>
      <c r="D1978" s="9" t="s">
        <v>3262</v>
      </c>
      <c r="E1978" s="10" t="str">
        <f>HYPERLINK("https://twitter.com/ChezNieto/status/1070757263135133697","1070757263135133697")</f>
        <v>1070757263135133697</v>
      </c>
      <c r="F1978" s="11" t="s">
        <v>432</v>
      </c>
      <c r="G1978" s="12"/>
      <c r="H1978" s="12"/>
      <c r="I1978" s="13">
        <v>2</v>
      </c>
      <c r="J1978" s="13">
        <v>2</v>
      </c>
      <c r="K1978" s="14" t="str">
        <f>HYPERLINK("http://twitter.com","Twitter Web Client")</f>
        <v>Twitter Web Client</v>
      </c>
      <c r="L1978" s="13">
        <v>5087</v>
      </c>
      <c r="M1978" s="13">
        <v>4782</v>
      </c>
      <c r="N1978" s="13">
        <v>50</v>
      </c>
      <c r="O1978" s="15"/>
      <c r="P1978" s="6">
        <v>41341.600729166668</v>
      </c>
      <c r="Q1978" s="16" t="s">
        <v>60</v>
      </c>
      <c r="R1978" s="17" t="s">
        <v>2826</v>
      </c>
      <c r="S1978" s="12"/>
      <c r="T1978" s="12"/>
      <c r="U1978" s="10" t="str">
        <f>HYPERLINK("https://pbs.twimg.com/profile_images/3750051142/df497636f6b21e0abf733a0e65a50087.jpeg","View")</f>
        <v>View</v>
      </c>
    </row>
    <row r="1979" spans="1:21" ht="30.6">
      <c r="A1979" s="6">
        <v>43440.840162037042</v>
      </c>
      <c r="B1979" s="7" t="str">
        <f>HYPERLINK("https://twitter.com/elcondedelaisla","@elcondedelaisla")</f>
        <v>@elcondedelaisla</v>
      </c>
      <c r="C1979" s="8" t="s">
        <v>5922</v>
      </c>
      <c r="D1979" s="9" t="s">
        <v>6724</v>
      </c>
      <c r="E1979" s="10" t="str">
        <f>HYPERLINK("https://twitter.com/elcondedelaisla/status/1070757224535023616","1070757224535023616")</f>
        <v>1070757224535023616</v>
      </c>
      <c r="F1979" s="11" t="s">
        <v>6725</v>
      </c>
      <c r="G1979" s="12"/>
      <c r="H1979" s="12"/>
      <c r="I1979" s="13">
        <v>0</v>
      </c>
      <c r="J1979" s="13">
        <v>0</v>
      </c>
      <c r="K1979" s="14" t="str">
        <f>HYPERLINK("http://instagram.com","Instagram")</f>
        <v>Instagram</v>
      </c>
      <c r="L1979" s="13">
        <v>213</v>
      </c>
      <c r="M1979" s="13">
        <v>219</v>
      </c>
      <c r="N1979" s="13">
        <v>3</v>
      </c>
      <c r="O1979" s="15"/>
      <c r="P1979" s="6">
        <v>40903.482210648144</v>
      </c>
      <c r="Q1979" s="16" t="s">
        <v>60</v>
      </c>
      <c r="R1979" s="19"/>
      <c r="S1979" s="12"/>
      <c r="T1979" s="12"/>
      <c r="U1979" s="10" t="str">
        <f>HYPERLINK("https://pbs.twimg.com/profile_images/3488880111/a9a7174ba6f51f798ea1384c21fc93c9.jpeg","View")</f>
        <v>View</v>
      </c>
    </row>
    <row r="1980" spans="1:21" ht="51">
      <c r="A1980" s="6">
        <v>43440.839074074072</v>
      </c>
      <c r="B1980" s="7" t="str">
        <f>HYPERLINK("https://twitter.com/xarxaindepe","@xarxaindepe")</f>
        <v>@xarxaindepe</v>
      </c>
      <c r="C1980" s="8" t="s">
        <v>6726</v>
      </c>
      <c r="D1980" s="9" t="s">
        <v>6727</v>
      </c>
      <c r="E1980" s="10" t="str">
        <f>HYPERLINK("https://twitter.com/xarxaindepe/status/1070756830773764097","1070756830773764097")</f>
        <v>1070756830773764097</v>
      </c>
      <c r="F1980" s="11" t="s">
        <v>3120</v>
      </c>
      <c r="G1980" s="12"/>
      <c r="H1980" s="12"/>
      <c r="I1980" s="13">
        <v>1</v>
      </c>
      <c r="J1980" s="13">
        <v>0</v>
      </c>
      <c r="K1980" s="14" t="str">
        <f>HYPERLINK("http://twitter.com","Twitter Web Client")</f>
        <v>Twitter Web Client</v>
      </c>
      <c r="L1980" s="13">
        <v>13706</v>
      </c>
      <c r="M1980" s="13">
        <v>14577</v>
      </c>
      <c r="N1980" s="13">
        <v>180</v>
      </c>
      <c r="O1980" s="15"/>
      <c r="P1980" s="6">
        <v>39906.54582175926</v>
      </c>
      <c r="Q1980" s="16" t="s">
        <v>1249</v>
      </c>
      <c r="R1980" s="17" t="s">
        <v>6728</v>
      </c>
      <c r="S1980" s="12"/>
      <c r="T1980" s="12"/>
      <c r="U1980" s="10" t="str">
        <f>HYPERLINK("https://pbs.twimg.com/profile_images/977612399703461888/2OElvCj0.jpg","View")</f>
        <v>View</v>
      </c>
    </row>
    <row r="1981" spans="1:21" ht="30.6">
      <c r="A1981" s="6">
        <v>43440.838576388887</v>
      </c>
      <c r="B1981" s="7" t="str">
        <f>HYPERLINK("https://twitter.com/esguijo","@esguijo")</f>
        <v>@esguijo</v>
      </c>
      <c r="C1981" s="8" t="s">
        <v>6729</v>
      </c>
      <c r="D1981" s="9" t="s">
        <v>6730</v>
      </c>
      <c r="E1981" s="10" t="str">
        <f>HYPERLINK("https://twitter.com/esguijo/status/1070756647113515008","1070756647113515008")</f>
        <v>1070756647113515008</v>
      </c>
      <c r="F1981" s="11" t="s">
        <v>6731</v>
      </c>
      <c r="G1981" s="12"/>
      <c r="H1981" s="12"/>
      <c r="I1981" s="13">
        <v>0</v>
      </c>
      <c r="J1981" s="13">
        <v>0</v>
      </c>
      <c r="K1981" s="14" t="str">
        <f>HYPERLINK("http://twitter.com/download/iphone","Twitter for iPhone")</f>
        <v>Twitter for iPhone</v>
      </c>
      <c r="L1981" s="13">
        <v>575</v>
      </c>
      <c r="M1981" s="13">
        <v>428</v>
      </c>
      <c r="N1981" s="13">
        <v>10</v>
      </c>
      <c r="O1981" s="15"/>
      <c r="P1981" s="6">
        <v>41315.700266203705</v>
      </c>
      <c r="Q1981" s="16" t="s">
        <v>710</v>
      </c>
      <c r="R1981" s="17" t="s">
        <v>6732</v>
      </c>
      <c r="S1981" s="11" t="s">
        <v>6733</v>
      </c>
      <c r="T1981" s="12"/>
      <c r="U1981" s="10" t="str">
        <f>HYPERLINK("https://pbs.twimg.com/profile_images/460698748243300352/knQY5_dW.jpeg","View")</f>
        <v>View</v>
      </c>
    </row>
    <row r="1982" spans="1:21" ht="20.399999999999999">
      <c r="A1982" s="6">
        <v>43440.838460648149</v>
      </c>
      <c r="B1982" s="7" t="str">
        <f>HYPERLINK("https://twitter.com/lm_ruben","@lm_ruben")</f>
        <v>@lm_ruben</v>
      </c>
      <c r="C1982" s="8" t="s">
        <v>3721</v>
      </c>
      <c r="D1982" s="9" t="s">
        <v>6734</v>
      </c>
      <c r="E1982" s="10" t="str">
        <f>HYPERLINK("https://twitter.com/lm_ruben/status/1070756608194605056","1070756608194605056")</f>
        <v>1070756608194605056</v>
      </c>
      <c r="F1982" s="12"/>
      <c r="G1982" s="12"/>
      <c r="H1982" s="12"/>
      <c r="I1982" s="13">
        <v>0</v>
      </c>
      <c r="J1982" s="13">
        <v>0</v>
      </c>
      <c r="K1982" s="14" t="str">
        <f>HYPERLINK("http://twitter.com/#!/download/ipad","Twitter for iPad")</f>
        <v>Twitter for iPad</v>
      </c>
      <c r="L1982" s="13">
        <v>1197</v>
      </c>
      <c r="M1982" s="13">
        <v>990</v>
      </c>
      <c r="N1982" s="13">
        <v>17</v>
      </c>
      <c r="O1982" s="15"/>
      <c r="P1982" s="6">
        <v>40881.591712962967</v>
      </c>
      <c r="Q1982" s="16" t="s">
        <v>200</v>
      </c>
      <c r="R1982" s="17" t="s">
        <v>3724</v>
      </c>
      <c r="S1982" s="12"/>
      <c r="T1982" s="12"/>
      <c r="U1982" s="10" t="str">
        <f>HYPERLINK("https://pbs.twimg.com/profile_images/486882325255688192/MvSstU6M.jpeg","View")</f>
        <v>View</v>
      </c>
    </row>
    <row r="1983" spans="1:21" ht="20.399999999999999">
      <c r="A1983" s="6">
        <v>43440.83761574074</v>
      </c>
      <c r="B1983" s="7" t="str">
        <f>HYPERLINK("https://twitter.com/SSarelvis67","@SSarelvis67")</f>
        <v>@SSarelvis67</v>
      </c>
      <c r="C1983" s="8" t="s">
        <v>6735</v>
      </c>
      <c r="D1983" s="9" t="s">
        <v>4198</v>
      </c>
      <c r="E1983" s="10" t="str">
        <f>HYPERLINK("https://twitter.com/SSarelvis67/status/1070756299086938112","1070756299086938112")</f>
        <v>1070756299086938112</v>
      </c>
      <c r="F1983" s="11" t="s">
        <v>1185</v>
      </c>
      <c r="G1983" s="12"/>
      <c r="H1983" s="12"/>
      <c r="I1983" s="13">
        <v>26</v>
      </c>
      <c r="J1983" s="13">
        <v>23</v>
      </c>
      <c r="K1983" s="14" t="str">
        <f>HYPERLINK("http://twitter.com/download/android","Twitter for Android")</f>
        <v>Twitter for Android</v>
      </c>
      <c r="L1983" s="13">
        <v>1945</v>
      </c>
      <c r="M1983" s="13">
        <v>2803</v>
      </c>
      <c r="N1983" s="13">
        <v>13</v>
      </c>
      <c r="O1983" s="15"/>
      <c r="P1983" s="6">
        <v>41358.931979166664</v>
      </c>
      <c r="Q1983" s="12"/>
      <c r="R1983" s="19"/>
      <c r="S1983" s="12"/>
      <c r="T1983" s="12"/>
      <c r="U1983" s="10" t="str">
        <f>HYPERLINK("https://pbs.twimg.com/profile_images/1047798065602723840/HgQ02HsX.jpg","View")</f>
        <v>View</v>
      </c>
    </row>
    <row r="1984" spans="1:21" ht="20.399999999999999">
      <c r="A1984" s="6">
        <v>43440.837002314816</v>
      </c>
      <c r="B1984" s="7" t="str">
        <f>HYPERLINK("https://twitter.com/violeta11377531","@violeta11377531")</f>
        <v>@violeta11377531</v>
      </c>
      <c r="C1984" s="8" t="s">
        <v>6736</v>
      </c>
      <c r="D1984" s="9" t="s">
        <v>6737</v>
      </c>
      <c r="E1984" s="10" t="str">
        <f>HYPERLINK("https://twitter.com/violeta11377531/status/1070756077078233089","1070756077078233089")</f>
        <v>1070756077078233089</v>
      </c>
      <c r="F1984" s="11" t="s">
        <v>6738</v>
      </c>
      <c r="G1984" s="12"/>
      <c r="H1984" s="12"/>
      <c r="I1984" s="13">
        <v>0</v>
      </c>
      <c r="J1984" s="13">
        <v>0</v>
      </c>
      <c r="K1984" s="14" t="str">
        <f>HYPERLINK("http://twitter.com/#!/download/ipad","Twitter for iPad")</f>
        <v>Twitter for iPad</v>
      </c>
      <c r="L1984" s="13">
        <v>921</v>
      </c>
      <c r="M1984" s="13">
        <v>496</v>
      </c>
      <c r="N1984" s="13">
        <v>30</v>
      </c>
      <c r="O1984" s="15"/>
      <c r="P1984" s="6">
        <v>42276.57335648148</v>
      </c>
      <c r="Q1984" s="16" t="s">
        <v>6739</v>
      </c>
      <c r="R1984" s="17" t="s">
        <v>6740</v>
      </c>
      <c r="S1984" s="12"/>
      <c r="T1984" s="12"/>
      <c r="U1984" s="10" t="str">
        <f>HYPERLINK("https://pbs.twimg.com/profile_images/855458573983375362/8dXtV170.jpg","View")</f>
        <v>View</v>
      </c>
    </row>
    <row r="1985" spans="1:21" ht="40.799999999999997">
      <c r="A1985" s="6">
        <v>43440.83662037037</v>
      </c>
      <c r="B1985" s="7" t="str">
        <f>HYPERLINK("https://twitter.com/zapper_news","@zapper_news")</f>
        <v>@zapper_news</v>
      </c>
      <c r="C1985" s="8" t="s">
        <v>23</v>
      </c>
      <c r="D1985" s="9" t="s">
        <v>256</v>
      </c>
      <c r="E1985" s="10" t="str">
        <f>HYPERLINK("https://twitter.com/zapper_news/status/1070755941660934145","1070755941660934145")</f>
        <v>1070755941660934145</v>
      </c>
      <c r="F1985" s="11" t="s">
        <v>259</v>
      </c>
      <c r="G1985" s="12"/>
      <c r="H1985" s="12"/>
      <c r="I1985" s="13">
        <v>0</v>
      </c>
      <c r="J1985" s="13">
        <v>0</v>
      </c>
      <c r="K1985" s="14" t="str">
        <f>HYPERLINK("http://www.tier.be","Stats Now")</f>
        <v>Stats Now</v>
      </c>
      <c r="L1985" s="13">
        <v>285</v>
      </c>
      <c r="M1985" s="13">
        <v>1845</v>
      </c>
      <c r="N1985" s="13">
        <v>0</v>
      </c>
      <c r="O1985" s="15"/>
      <c r="P1985" s="6">
        <v>42874.842048611114</v>
      </c>
      <c r="Q1985" s="16" t="s">
        <v>26</v>
      </c>
      <c r="R1985" s="17" t="s">
        <v>28</v>
      </c>
      <c r="S1985" s="11" t="s">
        <v>29</v>
      </c>
      <c r="T1985" s="12"/>
      <c r="U1985" s="10" t="str">
        <f>HYPERLINK("https://pbs.twimg.com/profile_images/1011404142210961408/ffUw_4XH.jpg","View")</f>
        <v>View</v>
      </c>
    </row>
    <row r="1986" spans="1:21" ht="40.799999999999997">
      <c r="A1986" s="6">
        <v>43440.835833333331</v>
      </c>
      <c r="B1986" s="7" t="str">
        <f>HYPERLINK("https://twitter.com/ADiazbarrantes","@ADiazbarrantes")</f>
        <v>@ADiazbarrantes</v>
      </c>
      <c r="C1986" s="8" t="s">
        <v>6744</v>
      </c>
      <c r="D1986" s="9" t="s">
        <v>6745</v>
      </c>
      <c r="E1986" s="10" t="str">
        <f>HYPERLINK("https://twitter.com/ADiazbarrantes/status/1070755653885546498","1070755653885546498")</f>
        <v>1070755653885546498</v>
      </c>
      <c r="F1986" s="11" t="s">
        <v>5099</v>
      </c>
      <c r="G1986" s="12"/>
      <c r="H1986" s="12"/>
      <c r="I1986" s="13">
        <v>0</v>
      </c>
      <c r="J1986" s="13">
        <v>0</v>
      </c>
      <c r="K1986" s="14" t="str">
        <f>HYPERLINK("http://twitter.com/download/iphone","Twitter for iPhone")</f>
        <v>Twitter for iPhone</v>
      </c>
      <c r="L1986" s="13">
        <v>3</v>
      </c>
      <c r="M1986" s="13">
        <v>29</v>
      </c>
      <c r="N1986" s="13">
        <v>0</v>
      </c>
      <c r="O1986" s="15"/>
      <c r="P1986" s="6">
        <v>43440.563252314816</v>
      </c>
      <c r="Q1986" s="16" t="s">
        <v>26</v>
      </c>
      <c r="R1986" s="17" t="s">
        <v>6746</v>
      </c>
      <c r="S1986" s="12"/>
      <c r="T1986" s="12"/>
      <c r="U1986" s="10" t="str">
        <f>HYPERLINK("https://pbs.twimg.com/profile_images/1070657528554491904/IEsT0hDC.jpg","View")</f>
        <v>View</v>
      </c>
    </row>
    <row r="1987" spans="1:21" ht="40.799999999999997">
      <c r="A1987" s="6">
        <v>43440.835219907407</v>
      </c>
      <c r="B1987" s="7" t="str">
        <f t="shared" ref="B1987:B1988" si="352">HYPERLINK("https://twitter.com/Sanfermin00","@Sanfermin00")</f>
        <v>@Sanfermin00</v>
      </c>
      <c r="C1987" s="8" t="s">
        <v>3942</v>
      </c>
      <c r="D1987" s="9" t="s">
        <v>5426</v>
      </c>
      <c r="E1987" s="10" t="str">
        <f>HYPERLINK("https://twitter.com/Sanfermin00/status/1070755430912143361","1070755430912143361")</f>
        <v>1070755430912143361</v>
      </c>
      <c r="F1987" s="11" t="s">
        <v>5427</v>
      </c>
      <c r="G1987" s="12"/>
      <c r="H1987" s="12"/>
      <c r="I1987" s="13">
        <v>0</v>
      </c>
      <c r="J1987" s="13">
        <v>1</v>
      </c>
      <c r="K1987" s="14" t="str">
        <f t="shared" ref="K1987:K1989" si="353">HYPERLINK("http://twitter.com","Twitter Web Client")</f>
        <v>Twitter Web Client</v>
      </c>
      <c r="L1987" s="13">
        <v>16528</v>
      </c>
      <c r="M1987" s="13">
        <v>13714</v>
      </c>
      <c r="N1987" s="13">
        <v>122</v>
      </c>
      <c r="O1987" s="15"/>
      <c r="P1987" s="6">
        <v>42362.637083333335</v>
      </c>
      <c r="Q1987" s="16" t="s">
        <v>3945</v>
      </c>
      <c r="R1987" s="17" t="s">
        <v>3946</v>
      </c>
      <c r="S1987" s="11" t="s">
        <v>3947</v>
      </c>
      <c r="T1987" s="12"/>
      <c r="U1987" s="10" t="str">
        <f t="shared" ref="U1987:U1988" si="354">HYPERLINK("https://pbs.twimg.com/profile_images/1064102923624480768/j11dV2-u.jpg","View")</f>
        <v>View</v>
      </c>
    </row>
    <row r="1988" spans="1:21" ht="40.799999999999997">
      <c r="A1988" s="6">
        <v>43440.835046296299</v>
      </c>
      <c r="B1988" s="7" t="str">
        <f t="shared" si="352"/>
        <v>@Sanfermin00</v>
      </c>
      <c r="C1988" s="8" t="s">
        <v>3942</v>
      </c>
      <c r="D1988" s="9" t="s">
        <v>4198</v>
      </c>
      <c r="E1988" s="10" t="str">
        <f>HYPERLINK("https://twitter.com/Sanfermin00/status/1070755368903606272","1070755368903606272")</f>
        <v>1070755368903606272</v>
      </c>
      <c r="F1988" s="11" t="s">
        <v>3534</v>
      </c>
      <c r="G1988" s="12"/>
      <c r="H1988" s="12"/>
      <c r="I1988" s="13">
        <v>0</v>
      </c>
      <c r="J1988" s="13">
        <v>2</v>
      </c>
      <c r="K1988" s="14" t="str">
        <f t="shared" si="353"/>
        <v>Twitter Web Client</v>
      </c>
      <c r="L1988" s="13">
        <v>16528</v>
      </c>
      <c r="M1988" s="13">
        <v>13714</v>
      </c>
      <c r="N1988" s="13">
        <v>122</v>
      </c>
      <c r="O1988" s="15"/>
      <c r="P1988" s="6">
        <v>42362.637083333335</v>
      </c>
      <c r="Q1988" s="16" t="s">
        <v>3945</v>
      </c>
      <c r="R1988" s="17" t="s">
        <v>3946</v>
      </c>
      <c r="S1988" s="11" t="s">
        <v>3947</v>
      </c>
      <c r="T1988" s="12"/>
      <c r="U1988" s="10" t="str">
        <f t="shared" si="354"/>
        <v>View</v>
      </c>
    </row>
    <row r="1989" spans="1:21" ht="40.799999999999997">
      <c r="A1989" s="6">
        <v>43440.834953703699</v>
      </c>
      <c r="B1989" s="7" t="str">
        <f>HYPERLINK("https://twitter.com/GironMatanzas","@GironMatanzas")</f>
        <v>@GironMatanzas</v>
      </c>
      <c r="C1989" s="8" t="s">
        <v>6750</v>
      </c>
      <c r="D1989" s="9" t="s">
        <v>6751</v>
      </c>
      <c r="E1989" s="10" t="str">
        <f>HYPERLINK("https://twitter.com/GironMatanzas/status/1070755337899294721","1070755337899294721")</f>
        <v>1070755337899294721</v>
      </c>
      <c r="F1989" s="12"/>
      <c r="G1989" s="11" t="s">
        <v>6752</v>
      </c>
      <c r="H1989" s="12"/>
      <c r="I1989" s="13">
        <v>1</v>
      </c>
      <c r="J1989" s="13">
        <v>1</v>
      </c>
      <c r="K1989" s="14" t="str">
        <f t="shared" si="353"/>
        <v>Twitter Web Client</v>
      </c>
      <c r="L1989" s="13">
        <v>3431</v>
      </c>
      <c r="M1989" s="13">
        <v>2209</v>
      </c>
      <c r="N1989" s="13">
        <v>53</v>
      </c>
      <c r="O1989" s="15"/>
      <c r="P1989" s="6">
        <v>40121.66978009259</v>
      </c>
      <c r="Q1989" s="16" t="s">
        <v>6753</v>
      </c>
      <c r="R1989" s="17" t="s">
        <v>6754</v>
      </c>
      <c r="S1989" s="11" t="s">
        <v>6755</v>
      </c>
      <c r="T1989" s="12"/>
      <c r="U1989" s="10" t="str">
        <f>HYPERLINK("https://pbs.twimg.com/profile_images/1060590945685561344/tmtVTgW3.jpg","View")</f>
        <v>View</v>
      </c>
    </row>
    <row r="1990" spans="1:21" ht="40.799999999999997">
      <c r="A1990" s="6">
        <v>43440.834525462968</v>
      </c>
      <c r="B1990" s="7" t="str">
        <f>HYPERLINK("https://twitter.com/rss_noticias","@rss_noticias")</f>
        <v>@rss_noticias</v>
      </c>
      <c r="C1990" s="8" t="s">
        <v>596</v>
      </c>
      <c r="D1990" s="9" t="s">
        <v>6756</v>
      </c>
      <c r="E1990" s="10" t="str">
        <f>HYPERLINK("https://twitter.com/rss_noticias/status/1070755180566720513","1070755180566720513")</f>
        <v>1070755180566720513</v>
      </c>
      <c r="F1990" s="11" t="s">
        <v>6757</v>
      </c>
      <c r="G1990" s="12"/>
      <c r="H1990" s="12"/>
      <c r="I1990" s="13">
        <v>0</v>
      </c>
      <c r="J1990" s="13">
        <v>0</v>
      </c>
      <c r="K1990" s="14" t="str">
        <f>HYPERLINK("https://ifttt.com","IFTTT")</f>
        <v>IFTTT</v>
      </c>
      <c r="L1990" s="13">
        <v>453</v>
      </c>
      <c r="M1990" s="13">
        <v>1</v>
      </c>
      <c r="N1990" s="13">
        <v>7</v>
      </c>
      <c r="O1990" s="15"/>
      <c r="P1990" s="6">
        <v>43425.916296296295</v>
      </c>
      <c r="Q1990" s="16" t="s">
        <v>599</v>
      </c>
      <c r="R1990" s="17" t="s">
        <v>600</v>
      </c>
      <c r="S1990" s="12"/>
      <c r="T1990" s="12"/>
      <c r="U1990" s="10" t="str">
        <f>HYPERLINK("https://pbs.twimg.com/profile_images/1065358148377153542/OtJ5HtwI.jpg","View")</f>
        <v>View</v>
      </c>
    </row>
    <row r="1991" spans="1:21" ht="40.799999999999997">
      <c r="A1991" s="6">
        <v>43440.833773148144</v>
      </c>
      <c r="B1991" s="7" t="str">
        <f>HYPERLINK("https://twitter.com/Cambio16","@Cambio16")</f>
        <v>@Cambio16</v>
      </c>
      <c r="C1991" s="8" t="s">
        <v>2837</v>
      </c>
      <c r="D1991" s="9" t="s">
        <v>6758</v>
      </c>
      <c r="E1991" s="10" t="str">
        <f>HYPERLINK("https://twitter.com/Cambio16/status/1070754908956254210","1070754908956254210")</f>
        <v>1070754908956254210</v>
      </c>
      <c r="F1991" s="11" t="s">
        <v>6759</v>
      </c>
      <c r="G1991" s="11" t="s">
        <v>6760</v>
      </c>
      <c r="H1991" s="12"/>
      <c r="I1991" s="13">
        <v>0</v>
      </c>
      <c r="J1991" s="13">
        <v>0</v>
      </c>
      <c r="K1991" s="14" t="str">
        <f>HYPERLINK("https://www.hootsuite.com","Hootsuite Inc.")</f>
        <v>Hootsuite Inc.</v>
      </c>
      <c r="L1991" s="13">
        <v>17336</v>
      </c>
      <c r="M1991" s="13">
        <v>1007</v>
      </c>
      <c r="N1991" s="13">
        <v>502</v>
      </c>
      <c r="O1991" s="15"/>
      <c r="P1991" s="6">
        <v>40341.492245370369</v>
      </c>
      <c r="Q1991" s="16" t="s">
        <v>133</v>
      </c>
      <c r="R1991" s="17" t="s">
        <v>2842</v>
      </c>
      <c r="S1991" s="11" t="s">
        <v>2843</v>
      </c>
      <c r="T1991" s="12"/>
      <c r="U1991" s="10" t="str">
        <f>HYPERLINK("https://pbs.twimg.com/profile_images/1060221846208069632/vJfJ3_T5.jpg","View")</f>
        <v>View</v>
      </c>
    </row>
    <row r="1992" spans="1:21" ht="20.399999999999999">
      <c r="A1992" s="6">
        <v>43440.833460648151</v>
      </c>
      <c r="B1992" s="7" t="str">
        <f>HYPERLINK("https://twitter.com/napa_es","@napa_es")</f>
        <v>@napa_es</v>
      </c>
      <c r="C1992" s="8" t="s">
        <v>5470</v>
      </c>
      <c r="D1992" s="9" t="s">
        <v>6761</v>
      </c>
      <c r="E1992" s="10" t="str">
        <f>HYPERLINK("https://twitter.com/napa_es/status/1070754795907100672","1070754795907100672")</f>
        <v>1070754795907100672</v>
      </c>
      <c r="F1992" s="11" t="s">
        <v>6762</v>
      </c>
      <c r="G1992" s="11" t="s">
        <v>6763</v>
      </c>
      <c r="H1992" s="12"/>
      <c r="I1992" s="13">
        <v>0</v>
      </c>
      <c r="J1992" s="13">
        <v>0</v>
      </c>
      <c r="K1992" s="14" t="str">
        <f>HYPERLINK("https://xn--apa-6ma.es","Ñapa")</f>
        <v>Ñapa</v>
      </c>
      <c r="L1992" s="13">
        <v>6</v>
      </c>
      <c r="M1992" s="13">
        <v>1</v>
      </c>
      <c r="N1992" s="13">
        <v>1</v>
      </c>
      <c r="O1992" s="15"/>
      <c r="P1992" s="6">
        <v>43009.635416666672</v>
      </c>
      <c r="Q1992" s="12"/>
      <c r="R1992" s="19"/>
      <c r="S1992" s="11" t="s">
        <v>5473</v>
      </c>
      <c r="T1992" s="12"/>
      <c r="U1992" s="10" t="str">
        <f>HYPERLINK("https://pbs.twimg.com/profile_images/1037392376887685122/CWJ5Ymto.jpg","View")</f>
        <v>View</v>
      </c>
    </row>
    <row r="1993" spans="1:21" ht="20.399999999999999">
      <c r="A1993" s="6">
        <v>43440.832199074073</v>
      </c>
      <c r="B1993" s="7" t="str">
        <f>HYPERLINK("https://twitter.com/Figarodixit","@Figarodixit")</f>
        <v>@Figarodixit</v>
      </c>
      <c r="C1993" s="8" t="s">
        <v>6251</v>
      </c>
      <c r="D1993" s="9" t="s">
        <v>6764</v>
      </c>
      <c r="E1993" s="10" t="str">
        <f>HYPERLINK("https://twitter.com/Figarodixit/status/1070754337671012354","1070754337671012354")</f>
        <v>1070754337671012354</v>
      </c>
      <c r="F1993" s="11" t="s">
        <v>2522</v>
      </c>
      <c r="G1993" s="12"/>
      <c r="H1993" s="12"/>
      <c r="I1993" s="13">
        <v>0</v>
      </c>
      <c r="J1993" s="13">
        <v>0</v>
      </c>
      <c r="K1993" s="14" t="str">
        <f>HYPERLINK("http://twitter.com/download/android","Twitter for Android")</f>
        <v>Twitter for Android</v>
      </c>
      <c r="L1993" s="13">
        <v>443</v>
      </c>
      <c r="M1993" s="13">
        <v>831</v>
      </c>
      <c r="N1993" s="13">
        <v>1</v>
      </c>
      <c r="O1993" s="15"/>
      <c r="P1993" s="6">
        <v>41299.983310185184</v>
      </c>
      <c r="Q1993" s="12"/>
      <c r="R1993" s="19"/>
      <c r="S1993" s="12"/>
      <c r="T1993" s="12"/>
      <c r="U1993" s="10" t="str">
        <f>HYPERLINK("https://pbs.twimg.com/profile_images/3171067429/47937b36ca98570eb1f9f6e5ed055255.jpeg","View")</f>
        <v>View</v>
      </c>
    </row>
    <row r="1994" spans="1:21" ht="20.399999999999999">
      <c r="A1994" s="6">
        <v>43440.832071759258</v>
      </c>
      <c r="B1994" s="7" t="str">
        <f>HYPERLINK("https://twitter.com/PLATINO000","@PLATINO000")</f>
        <v>@PLATINO000</v>
      </c>
      <c r="C1994" s="8" t="s">
        <v>6765</v>
      </c>
      <c r="D1994" s="9" t="s">
        <v>1324</v>
      </c>
      <c r="E1994" s="10" t="str">
        <f>HYPERLINK("https://twitter.com/PLATINO000/status/1070754292666130432","1070754292666130432")</f>
        <v>1070754292666130432</v>
      </c>
      <c r="F1994" s="11" t="s">
        <v>467</v>
      </c>
      <c r="G1994" s="12"/>
      <c r="H1994" s="12"/>
      <c r="I1994" s="13">
        <v>1</v>
      </c>
      <c r="J1994" s="13">
        <v>1</v>
      </c>
      <c r="K1994" s="14" t="str">
        <f t="shared" ref="K1994:K1995" si="355">HYPERLINK("http://twitter.com","Twitter Web Client")</f>
        <v>Twitter Web Client</v>
      </c>
      <c r="L1994" s="13">
        <v>850</v>
      </c>
      <c r="M1994" s="13">
        <v>893</v>
      </c>
      <c r="N1994" s="13">
        <v>5</v>
      </c>
      <c r="O1994" s="15"/>
      <c r="P1994" s="6">
        <v>40479.871006944442</v>
      </c>
      <c r="Q1994" s="16" t="s">
        <v>6766</v>
      </c>
      <c r="R1994" s="17" t="s">
        <v>6767</v>
      </c>
      <c r="S1994" s="12"/>
      <c r="T1994" s="12"/>
      <c r="U1994" s="10" t="str">
        <f>HYPERLINK("https://pbs.twimg.com/profile_images/640929907875401728/u0iKUayA.jpg","View")</f>
        <v>View</v>
      </c>
    </row>
    <row r="1995" spans="1:21" ht="30.6">
      <c r="A1995" s="6">
        <v>43440.832013888888</v>
      </c>
      <c r="B1995" s="7" t="str">
        <f>HYPERLINK("https://twitter.com/PMadelman","@PMadelman")</f>
        <v>@PMadelman</v>
      </c>
      <c r="C1995" s="8" t="s">
        <v>6768</v>
      </c>
      <c r="D1995" s="9" t="s">
        <v>6769</v>
      </c>
      <c r="E1995" s="10" t="str">
        <f>HYPERLINK("https://twitter.com/PMadelman/status/1070754271971414021","1070754271971414021")</f>
        <v>1070754271971414021</v>
      </c>
      <c r="F1995" s="16" t="s">
        <v>6770</v>
      </c>
      <c r="G1995" s="11" t="s">
        <v>6445</v>
      </c>
      <c r="H1995" s="12"/>
      <c r="I1995" s="13">
        <v>0</v>
      </c>
      <c r="J1995" s="13">
        <v>0</v>
      </c>
      <c r="K1995" s="14" t="str">
        <f t="shared" si="355"/>
        <v>Twitter Web Client</v>
      </c>
      <c r="L1995" s="13">
        <v>95</v>
      </c>
      <c r="M1995" s="13">
        <v>271</v>
      </c>
      <c r="N1995" s="13">
        <v>0</v>
      </c>
      <c r="O1995" s="15"/>
      <c r="P1995" s="6">
        <v>43293.040081018524</v>
      </c>
      <c r="Q1995" s="12"/>
      <c r="R1995" s="17" t="s">
        <v>6771</v>
      </c>
      <c r="S1995" s="12"/>
      <c r="T1995" s="12"/>
      <c r="U1995" s="10" t="str">
        <f>HYPERLINK("https://pbs.twimg.com/profile_images/1017184321906634754/PsCT9QIx.jpg","View")</f>
        <v>View</v>
      </c>
    </row>
    <row r="1996" spans="1:21" ht="40.799999999999997">
      <c r="A1996" s="6">
        <v>43440.831041666665</v>
      </c>
      <c r="B1996" s="7" t="str">
        <f>HYPERLINK("https://twitter.com/VeoInfo_","@VeoInfo_")</f>
        <v>@VeoInfo_</v>
      </c>
      <c r="C1996" s="8" t="s">
        <v>2627</v>
      </c>
      <c r="D1996" s="9" t="s">
        <v>2521</v>
      </c>
      <c r="E1996" s="10" t="str">
        <f>HYPERLINK("https://twitter.com/VeoInfo_/status/1070753918903349260","1070753918903349260")</f>
        <v>1070753918903349260</v>
      </c>
      <c r="F1996" s="11" t="s">
        <v>6382</v>
      </c>
      <c r="G1996" s="11" t="s">
        <v>6773</v>
      </c>
      <c r="H1996" s="12"/>
      <c r="I1996" s="13">
        <v>0</v>
      </c>
      <c r="J1996" s="13">
        <v>0</v>
      </c>
      <c r="K1996" s="14" t="str">
        <f>HYPERLINK("http://publicize.wp.com/","WordPress.com")</f>
        <v>WordPress.com</v>
      </c>
      <c r="L1996" s="13">
        <v>1135</v>
      </c>
      <c r="M1996" s="13">
        <v>1139</v>
      </c>
      <c r="N1996" s="13">
        <v>37</v>
      </c>
      <c r="O1996" s="15"/>
      <c r="P1996" s="6">
        <v>41881.101840277777</v>
      </c>
      <c r="Q1996" s="16" t="s">
        <v>2629</v>
      </c>
      <c r="R1996" s="17" t="s">
        <v>2630</v>
      </c>
      <c r="S1996" s="11" t="s">
        <v>2631</v>
      </c>
      <c r="T1996" s="12"/>
      <c r="U1996" s="10" t="str">
        <f>HYPERLINK("https://pbs.twimg.com/profile_images/601509372305485827/Val0dfGy.png","View")</f>
        <v>View</v>
      </c>
    </row>
    <row r="1997" spans="1:21" ht="20.399999999999999">
      <c r="A1997" s="6">
        <v>43440.830324074079</v>
      </c>
      <c r="B1997" s="7" t="str">
        <f>HYPERLINK("https://twitter.com/Vzaino1","@Vzaino1")</f>
        <v>@Vzaino1</v>
      </c>
      <c r="C1997" s="8" t="s">
        <v>1265</v>
      </c>
      <c r="D1997" s="9" t="s">
        <v>6774</v>
      </c>
      <c r="E1997" s="10" t="str">
        <f>HYPERLINK("https://twitter.com/Vzaino1/status/1070753658902642688","1070753658902642688")</f>
        <v>1070753658902642688</v>
      </c>
      <c r="F1997" s="11" t="s">
        <v>6775</v>
      </c>
      <c r="G1997" s="12"/>
      <c r="H1997" s="12"/>
      <c r="I1997" s="13">
        <v>0</v>
      </c>
      <c r="J1997" s="13">
        <v>0</v>
      </c>
      <c r="K1997" s="14" t="str">
        <f>HYPERLINK("http://twitter.com","Twitter Web Client")</f>
        <v>Twitter Web Client</v>
      </c>
      <c r="L1997" s="13">
        <v>287</v>
      </c>
      <c r="M1997" s="13">
        <v>654</v>
      </c>
      <c r="N1997" s="13">
        <v>0</v>
      </c>
      <c r="O1997" s="15"/>
      <c r="P1997" s="6">
        <v>43402.79069444444</v>
      </c>
      <c r="Q1997" s="12"/>
      <c r="R1997" s="17" t="s">
        <v>1268</v>
      </c>
      <c r="S1997" s="12"/>
      <c r="T1997" s="12"/>
      <c r="U1997" s="18" t="s">
        <v>67</v>
      </c>
    </row>
    <row r="1998" spans="1:21" ht="20.399999999999999">
      <c r="A1998" s="6">
        <v>43440.830289351856</v>
      </c>
      <c r="B1998" s="7" t="str">
        <f>HYPERLINK("https://twitter.com/PBMarbeMalaga","@PBMarbeMalaga")</f>
        <v>@PBMarbeMalaga</v>
      </c>
      <c r="C1998" s="8" t="s">
        <v>1141</v>
      </c>
      <c r="D1998" s="9" t="s">
        <v>6776</v>
      </c>
      <c r="E1998" s="10" t="str">
        <f>HYPERLINK("https://twitter.com/PBMarbeMalaga/status/1070753645581475840","1070753645581475840")</f>
        <v>1070753645581475840</v>
      </c>
      <c r="F1998" s="11" t="s">
        <v>6777</v>
      </c>
      <c r="G1998" s="12"/>
      <c r="H1998" s="12"/>
      <c r="I1998" s="13">
        <v>0</v>
      </c>
      <c r="J1998" s="13">
        <v>0</v>
      </c>
      <c r="K1998" s="14" t="str">
        <f>HYPERLINK("https://javitang.ddns.net","PBMarbeMalaga")</f>
        <v>PBMarbeMalaga</v>
      </c>
      <c r="L1998" s="13">
        <v>1316</v>
      </c>
      <c r="M1998" s="13">
        <v>1358</v>
      </c>
      <c r="N1998" s="13">
        <v>2</v>
      </c>
      <c r="O1998" s="15"/>
      <c r="P1998" s="6">
        <v>43149.814074074078</v>
      </c>
      <c r="Q1998" s="16" t="s">
        <v>1144</v>
      </c>
      <c r="R1998" s="17" t="s">
        <v>1145</v>
      </c>
      <c r="S1998" s="12"/>
      <c r="T1998" s="12"/>
      <c r="U1998" s="10" t="str">
        <f>HYPERLINK("https://pbs.twimg.com/profile_images/965296691145531392/sAFnfUu2.jpg","View")</f>
        <v>View</v>
      </c>
    </row>
    <row r="1999" spans="1:21" ht="30.6">
      <c r="A1999" s="6">
        <v>43440.830011574071</v>
      </c>
      <c r="B1999" s="7" t="str">
        <f>HYPERLINK("https://twitter.com/1000boj","@1000boj")</f>
        <v>@1000boj</v>
      </c>
      <c r="C1999" s="8" t="s">
        <v>6778</v>
      </c>
      <c r="D1999" s="9" t="s">
        <v>6779</v>
      </c>
      <c r="E1999" s="10" t="str">
        <f>HYPERLINK("https://twitter.com/1000boj/status/1070753545199202309","1070753545199202309")</f>
        <v>1070753545199202309</v>
      </c>
      <c r="F1999" s="11" t="s">
        <v>6780</v>
      </c>
      <c r="G1999" s="12"/>
      <c r="H1999" s="12"/>
      <c r="I1999" s="13">
        <v>0</v>
      </c>
      <c r="J1999" s="13">
        <v>0</v>
      </c>
      <c r="K1999" s="14" t="str">
        <f>HYPERLINK("http://twitter.com","Twitter Web Client")</f>
        <v>Twitter Web Client</v>
      </c>
      <c r="L1999" s="13">
        <v>989</v>
      </c>
      <c r="M1999" s="13">
        <v>1202</v>
      </c>
      <c r="N1999" s="13">
        <v>12</v>
      </c>
      <c r="O1999" s="15"/>
      <c r="P1999" s="6">
        <v>41609.524768518517</v>
      </c>
      <c r="Q1999" s="12"/>
      <c r="R1999" s="19"/>
      <c r="S1999" s="12"/>
      <c r="T1999" s="12"/>
      <c r="U1999" s="10" t="str">
        <f>HYPERLINK("https://pbs.twimg.com/profile_images/728305167284719619/bPaQn-yH.jpg","View")</f>
        <v>View</v>
      </c>
    </row>
    <row r="2000" spans="1:21" ht="20.399999999999999">
      <c r="A2000" s="6">
        <v>43440.82813657407</v>
      </c>
      <c r="B2000" s="7" t="str">
        <f>HYPERLINK("https://twitter.com/copiajuridica","@copiajuridica")</f>
        <v>@copiajuridica</v>
      </c>
      <c r="C2000" s="8" t="s">
        <v>1339</v>
      </c>
      <c r="D2000" s="9" t="s">
        <v>6783</v>
      </c>
      <c r="E2000" s="10" t="str">
        <f>HYPERLINK("https://twitter.com/copiajuridica/status/1070752866128850946","1070752866128850946")</f>
        <v>1070752866128850946</v>
      </c>
      <c r="F2000" s="11" t="s">
        <v>6785</v>
      </c>
      <c r="G2000" s="12"/>
      <c r="H2000" s="12"/>
      <c r="I2000" s="13">
        <v>0</v>
      </c>
      <c r="J2000" s="13">
        <v>0</v>
      </c>
      <c r="K2000" s="14" t="str">
        <f>HYPERLINK("http://www.facebook.com/twitter","Facebook")</f>
        <v>Facebook</v>
      </c>
      <c r="L2000" s="13">
        <v>74</v>
      </c>
      <c r="M2000" s="13">
        <v>272</v>
      </c>
      <c r="N2000" s="13">
        <v>1</v>
      </c>
      <c r="O2000" s="15"/>
      <c r="P2000" s="6">
        <v>42088.346412037034</v>
      </c>
      <c r="Q2000" s="12"/>
      <c r="R2000" s="19"/>
      <c r="S2000" s="11" t="s">
        <v>1342</v>
      </c>
      <c r="T2000" s="12"/>
      <c r="U2000" s="10" t="str">
        <f>HYPERLINK("https://pbs.twimg.com/profile_images/712509718355423234/-G-stV8w.jpg","View")</f>
        <v>View</v>
      </c>
    </row>
    <row r="2001" spans="1:21" ht="30.6">
      <c r="A2001" s="6">
        <v>43440.827986111108</v>
      </c>
      <c r="B2001" s="7" t="str">
        <f>HYPERLINK("https://twitter.com/InfoHeaders_Tes","@InfoHeaders_Tes")</f>
        <v>@InfoHeaders_Tes</v>
      </c>
      <c r="C2001" s="8" t="s">
        <v>4360</v>
      </c>
      <c r="D2001" s="9" t="s">
        <v>6786</v>
      </c>
      <c r="E2001" s="10" t="str">
        <f>HYPERLINK("https://twitter.com/InfoHeaders_Tes/status/1070752809866420224","1070752809866420224")</f>
        <v>1070752809866420224</v>
      </c>
      <c r="F2001" s="11" t="s">
        <v>3202</v>
      </c>
      <c r="G2001" s="12"/>
      <c r="H2001" s="12"/>
      <c r="I2001" s="13">
        <v>0</v>
      </c>
      <c r="J2001" s="13">
        <v>0</v>
      </c>
      <c r="K2001" s="14" t="str">
        <f>HYPERLINK("http://www.infoheaders.com","Send _Tw_INFH_Test")</f>
        <v>Send _Tw_INFH_Test</v>
      </c>
      <c r="L2001" s="13">
        <v>201</v>
      </c>
      <c r="M2001" s="13">
        <v>1</v>
      </c>
      <c r="N2001" s="13">
        <v>100</v>
      </c>
      <c r="O2001" s="15"/>
      <c r="P2001" s="6">
        <v>41315.710497685184</v>
      </c>
      <c r="Q2001" s="16" t="s">
        <v>60</v>
      </c>
      <c r="R2001" s="17" t="s">
        <v>4363</v>
      </c>
      <c r="S2001" s="11" t="s">
        <v>4364</v>
      </c>
      <c r="T2001" s="12"/>
      <c r="U2001" s="10" t="str">
        <f>HYPERLINK("https://pbs.twimg.com/profile_images/3234700567/566c3c8e394f76d77a41eafe1bfc7aa3.jpeg","View")</f>
        <v>View</v>
      </c>
    </row>
    <row r="2002" spans="1:21" ht="20.399999999999999">
      <c r="A2002" s="6">
        <v>43440.827557870369</v>
      </c>
      <c r="B2002" s="7" t="str">
        <f>HYPERLINK("https://twitter.com/TurboNoticias","@TurboNoticias")</f>
        <v>@TurboNoticias</v>
      </c>
      <c r="C2002" s="8" t="s">
        <v>5546</v>
      </c>
      <c r="D2002" s="9" t="s">
        <v>2521</v>
      </c>
      <c r="E2002" s="10" t="str">
        <f>HYPERLINK("https://twitter.com/TurboNoticias/status/1070752656220741638","1070752656220741638")</f>
        <v>1070752656220741638</v>
      </c>
      <c r="F2002" s="11" t="s">
        <v>3202</v>
      </c>
      <c r="G2002" s="12"/>
      <c r="H2002" s="12"/>
      <c r="I2002" s="13">
        <v>0</v>
      </c>
      <c r="J2002" s="13">
        <v>0</v>
      </c>
      <c r="K2002" s="14" t="str">
        <f>HYPERLINK("https://ifttt.com","IFTTT")</f>
        <v>IFTTT</v>
      </c>
      <c r="L2002" s="13">
        <v>965</v>
      </c>
      <c r="M2002" s="13">
        <v>853</v>
      </c>
      <c r="N2002" s="13">
        <v>72</v>
      </c>
      <c r="O2002" s="15"/>
      <c r="P2002" s="6">
        <v>41374.90861111111</v>
      </c>
      <c r="Q2002" s="12"/>
      <c r="R2002" s="17" t="s">
        <v>5547</v>
      </c>
      <c r="S2002" s="12"/>
      <c r="T2002" s="12"/>
      <c r="U2002" s="10" t="str">
        <f>HYPERLINK("https://pbs.twimg.com/profile_images/3503488030/f3fa72449e81ed8eb09fe5df9d6c5afe.jpeg","View")</f>
        <v>View</v>
      </c>
    </row>
    <row r="2003" spans="1:21" ht="30.6">
      <c r="A2003" s="6">
        <v>43440.826631944445</v>
      </c>
      <c r="B2003" s="7" t="str">
        <f>HYPERLINK("https://twitter.com/TerminatorFern","@TerminatorFern")</f>
        <v>@TerminatorFern</v>
      </c>
      <c r="C2003" s="8" t="s">
        <v>4601</v>
      </c>
      <c r="D2003" s="9" t="s">
        <v>6787</v>
      </c>
      <c r="E2003" s="10" t="str">
        <f>HYPERLINK("https://twitter.com/TerminatorFern/status/1070752319996915718","1070752319996915718")</f>
        <v>1070752319996915718</v>
      </c>
      <c r="F2003" s="11" t="s">
        <v>4145</v>
      </c>
      <c r="G2003" s="11" t="s">
        <v>6788</v>
      </c>
      <c r="H2003" s="12"/>
      <c r="I2003" s="13">
        <v>0</v>
      </c>
      <c r="J2003" s="13">
        <v>0</v>
      </c>
      <c r="K2003" s="14" t="str">
        <f>HYPERLINK("https://buffer.com","Buffer")</f>
        <v>Buffer</v>
      </c>
      <c r="L2003" s="13">
        <v>728</v>
      </c>
      <c r="M2003" s="13">
        <v>2010</v>
      </c>
      <c r="N2003" s="13">
        <v>6</v>
      </c>
      <c r="O2003" s="15"/>
      <c r="P2003" s="6">
        <v>42204.513877314814</v>
      </c>
      <c r="Q2003" s="16" t="s">
        <v>4604</v>
      </c>
      <c r="R2003" s="17" t="s">
        <v>4605</v>
      </c>
      <c r="S2003" s="12"/>
      <c r="T2003" s="12"/>
      <c r="U2003" s="10" t="str">
        <f>HYPERLINK("https://pbs.twimg.com/profile_images/745303274463563777/GyIW12w_.jpg","View")</f>
        <v>View</v>
      </c>
    </row>
    <row r="2004" spans="1:21" ht="30.6">
      <c r="A2004" s="6">
        <v>43440.826481481483</v>
      </c>
      <c r="B2004" s="7" t="str">
        <f>HYPERLINK("https://twitter.com/UrretaJorge","@UrretaJorge")</f>
        <v>@UrretaJorge</v>
      </c>
      <c r="C2004" s="8" t="s">
        <v>5554</v>
      </c>
      <c r="D2004" s="9" t="s">
        <v>4198</v>
      </c>
      <c r="E2004" s="10" t="str">
        <f>HYPERLINK("https://twitter.com/UrretaJorge/status/1070752264002793473","1070752264002793473")</f>
        <v>1070752264002793473</v>
      </c>
      <c r="F2004" s="11" t="s">
        <v>6789</v>
      </c>
      <c r="G2004" s="11" t="s">
        <v>6790</v>
      </c>
      <c r="H2004" s="12"/>
      <c r="I2004" s="13">
        <v>0</v>
      </c>
      <c r="J2004" s="13">
        <v>0</v>
      </c>
      <c r="K2004" s="14" t="str">
        <f>HYPERLINK("https://dlvrit.com/","dlvr.it")</f>
        <v>dlvr.it</v>
      </c>
      <c r="L2004" s="13">
        <v>6180</v>
      </c>
      <c r="M2004" s="13">
        <v>6333</v>
      </c>
      <c r="N2004" s="13">
        <v>116</v>
      </c>
      <c r="O2004" s="15"/>
      <c r="P2004" s="6">
        <v>41216.774305555555</v>
      </c>
      <c r="Q2004" s="16" t="s">
        <v>5557</v>
      </c>
      <c r="R2004" s="17" t="s">
        <v>5558</v>
      </c>
      <c r="S2004" s="11" t="s">
        <v>5559</v>
      </c>
      <c r="T2004" s="12"/>
      <c r="U2004" s="10" t="str">
        <f>HYPERLINK("https://pbs.twimg.com/profile_images/636651341385965569/1AdINThO.jpg","View")</f>
        <v>View</v>
      </c>
    </row>
    <row r="2005" spans="1:21" ht="51">
      <c r="A2005" s="6">
        <v>43440.825787037036</v>
      </c>
      <c r="B2005" s="7" t="str">
        <f>HYPERLINK("https://twitter.com/maxpradera","@maxpradera")</f>
        <v>@maxpradera</v>
      </c>
      <c r="C2005" s="8" t="s">
        <v>3065</v>
      </c>
      <c r="D2005" s="9" t="s">
        <v>6791</v>
      </c>
      <c r="E2005" s="10" t="str">
        <f>HYPERLINK("https://twitter.com/maxpradera/status/1070752015033266182","1070752015033266182")</f>
        <v>1070752015033266182</v>
      </c>
      <c r="F2005" s="11" t="s">
        <v>3202</v>
      </c>
      <c r="G2005" s="12"/>
      <c r="H2005" s="12"/>
      <c r="I2005" s="13">
        <v>57</v>
      </c>
      <c r="J2005" s="13">
        <v>138</v>
      </c>
      <c r="K2005" s="14" t="str">
        <f>HYPERLINK("http://twitter.com/#!/download/ipad","Twitter for iPad")</f>
        <v>Twitter for iPad</v>
      </c>
      <c r="L2005" s="13">
        <v>101901</v>
      </c>
      <c r="M2005" s="13">
        <v>1775</v>
      </c>
      <c r="N2005" s="13">
        <v>1608</v>
      </c>
      <c r="O2005" s="18" t="s">
        <v>41</v>
      </c>
      <c r="P2005" s="6">
        <v>40702.053414351853</v>
      </c>
      <c r="Q2005" s="16" t="s">
        <v>3067</v>
      </c>
      <c r="R2005" s="17" t="s">
        <v>3068</v>
      </c>
      <c r="S2005" s="11" t="s">
        <v>3069</v>
      </c>
      <c r="T2005" s="12"/>
      <c r="U2005" s="10" t="str">
        <f>HYPERLINK("https://pbs.twimg.com/profile_images/1065382057319243777/G0W1w4Ng.jpg","View")</f>
        <v>View</v>
      </c>
    </row>
    <row r="2006" spans="1:21" ht="40.799999999999997">
      <c r="A2006" s="6">
        <v>43440.825682870374</v>
      </c>
      <c r="B2006" s="7" t="str">
        <f>HYPERLINK("https://twitter.com/RosamPadilla","@RosamPadilla")</f>
        <v>@RosamPadilla</v>
      </c>
      <c r="C2006" s="8" t="s">
        <v>6794</v>
      </c>
      <c r="D2006" s="9" t="s">
        <v>6795</v>
      </c>
      <c r="E2006" s="10" t="str">
        <f>HYPERLINK("https://twitter.com/RosamPadilla/status/1070751975027957765","1070751975027957765")</f>
        <v>1070751975027957765</v>
      </c>
      <c r="F2006" s="11" t="s">
        <v>6796</v>
      </c>
      <c r="G2006" s="12"/>
      <c r="H2006" s="12"/>
      <c r="I2006" s="13">
        <v>0</v>
      </c>
      <c r="J2006" s="13">
        <v>0</v>
      </c>
      <c r="K2006" s="14" t="str">
        <f>HYPERLINK("http://twitter.com","Twitter Web Client")</f>
        <v>Twitter Web Client</v>
      </c>
      <c r="L2006" s="13">
        <v>426</v>
      </c>
      <c r="M2006" s="13">
        <v>892</v>
      </c>
      <c r="N2006" s="13">
        <v>7</v>
      </c>
      <c r="O2006" s="15"/>
      <c r="P2006" s="6">
        <v>40065.732592592591</v>
      </c>
      <c r="Q2006" s="16" t="s">
        <v>60</v>
      </c>
      <c r="R2006" s="17" t="s">
        <v>6797</v>
      </c>
      <c r="S2006" s="11" t="s">
        <v>6798</v>
      </c>
      <c r="T2006" s="12"/>
      <c r="U2006" s="10" t="str">
        <f>HYPERLINK("https://pbs.twimg.com/profile_images/1066817989901774849/3ejzvqU8.jpg","View")</f>
        <v>View</v>
      </c>
    </row>
    <row r="2007" spans="1:21" ht="30.6">
      <c r="A2007" s="6">
        <v>43440.82408564815</v>
      </c>
      <c r="B2007" s="7" t="str">
        <f>HYPERLINK("https://twitter.com/pradoalberdi","@pradoalberdi")</f>
        <v>@pradoalberdi</v>
      </c>
      <c r="C2007" s="8" t="s">
        <v>6799</v>
      </c>
      <c r="D2007" s="9" t="s">
        <v>4198</v>
      </c>
      <c r="E2007" s="10" t="str">
        <f>HYPERLINK("https://twitter.com/pradoalberdi/status/1070751398831247360","1070751398831247360")</f>
        <v>1070751398831247360</v>
      </c>
      <c r="F2007" s="11" t="s">
        <v>1185</v>
      </c>
      <c r="G2007" s="12"/>
      <c r="H2007" s="12"/>
      <c r="I2007" s="13">
        <v>0</v>
      </c>
      <c r="J2007" s="13">
        <v>0</v>
      </c>
      <c r="K2007" s="14" t="str">
        <f t="shared" ref="K2007:K2008" si="356">HYPERLINK("http://twitter.com/download/android","Twitter for Android")</f>
        <v>Twitter for Android</v>
      </c>
      <c r="L2007" s="13">
        <v>2744</v>
      </c>
      <c r="M2007" s="13">
        <v>2754</v>
      </c>
      <c r="N2007" s="13">
        <v>76</v>
      </c>
      <c r="O2007" s="15"/>
      <c r="P2007" s="6">
        <v>39912.997858796298</v>
      </c>
      <c r="Q2007" s="16" t="s">
        <v>6800</v>
      </c>
      <c r="R2007" s="17" t="s">
        <v>6801</v>
      </c>
      <c r="S2007" s="11" t="s">
        <v>6802</v>
      </c>
      <c r="T2007" s="12"/>
      <c r="U2007" s="10" t="str">
        <f>HYPERLINK("https://pbs.twimg.com/profile_images/1471182899/ALBERDI_PERFIL.jpg","View")</f>
        <v>View</v>
      </c>
    </row>
    <row r="2008" spans="1:21" ht="112.2">
      <c r="A2008" s="6">
        <v>43440.823796296296</v>
      </c>
      <c r="B2008" s="7" t="str">
        <f>HYPERLINK("https://twitter.com/gibrain30","@gibrain30")</f>
        <v>@gibrain30</v>
      </c>
      <c r="C2008" s="8" t="s">
        <v>756</v>
      </c>
      <c r="D2008" s="9" t="s">
        <v>6805</v>
      </c>
      <c r="E2008" s="10" t="str">
        <f>HYPERLINK("https://twitter.com/gibrain30/status/1070751294422507522","1070751294422507522")</f>
        <v>1070751294422507522</v>
      </c>
      <c r="F2008" s="11" t="s">
        <v>54</v>
      </c>
      <c r="G2008" s="11" t="s">
        <v>55</v>
      </c>
      <c r="H2008" s="12"/>
      <c r="I2008" s="13">
        <v>0</v>
      </c>
      <c r="J2008" s="13">
        <v>1</v>
      </c>
      <c r="K2008" s="14" t="str">
        <f t="shared" si="356"/>
        <v>Twitter for Android</v>
      </c>
      <c r="L2008" s="13">
        <v>107</v>
      </c>
      <c r="M2008" s="13">
        <v>225</v>
      </c>
      <c r="N2008" s="13">
        <v>0</v>
      </c>
      <c r="O2008" s="15"/>
      <c r="P2008" s="6">
        <v>41920.833657407406</v>
      </c>
      <c r="Q2008" s="12"/>
      <c r="R2008" s="17" t="s">
        <v>758</v>
      </c>
      <c r="S2008" s="12"/>
      <c r="T2008" s="12"/>
      <c r="U2008" s="10" t="str">
        <f>HYPERLINK("https://pbs.twimg.com/profile_images/1029306890835173376/JHBPM6GF.jpg","View")</f>
        <v>View</v>
      </c>
    </row>
    <row r="2009" spans="1:21" ht="20.399999999999999">
      <c r="A2009" s="6">
        <v>43440.823124999995</v>
      </c>
      <c r="B2009" s="7" t="str">
        <f>HYPERLINK("https://twitter.com/bombi56","@bombi56")</f>
        <v>@bombi56</v>
      </c>
      <c r="C2009" s="8" t="s">
        <v>6520</v>
      </c>
      <c r="D2009" s="9" t="s">
        <v>6521</v>
      </c>
      <c r="E2009" s="10" t="str">
        <f>HYPERLINK("https://twitter.com/bombi56/status/1070751051538685965","1070751051538685965")</f>
        <v>1070751051538685965</v>
      </c>
      <c r="F2009" s="11" t="s">
        <v>467</v>
      </c>
      <c r="G2009" s="12"/>
      <c r="H2009" s="12"/>
      <c r="I2009" s="13">
        <v>0</v>
      </c>
      <c r="J2009" s="13">
        <v>0</v>
      </c>
      <c r="K2009" s="14" t="str">
        <f>HYPERLINK("http://twitter.com/download/iphone","Twitter for iPhone")</f>
        <v>Twitter for iPhone</v>
      </c>
      <c r="L2009" s="13">
        <v>1206</v>
      </c>
      <c r="M2009" s="13">
        <v>1210</v>
      </c>
      <c r="N2009" s="13">
        <v>7</v>
      </c>
      <c r="O2009" s="15"/>
      <c r="P2009" s="6">
        <v>41246.997453703705</v>
      </c>
      <c r="Q2009" s="16" t="s">
        <v>6524</v>
      </c>
      <c r="R2009" s="17" t="s">
        <v>6525</v>
      </c>
      <c r="S2009" s="12"/>
      <c r="T2009" s="12"/>
      <c r="U2009" s="10" t="str">
        <f>HYPERLINK("https://pbs.twimg.com/profile_images/973171824602374144/7Aa0yJwt.jpg","View")</f>
        <v>View</v>
      </c>
    </row>
    <row r="2010" spans="1:21" ht="20.399999999999999">
      <c r="A2010" s="6">
        <v>43440.82309027778</v>
      </c>
      <c r="B2010" s="7" t="str">
        <f>HYPERLINK("https://twitter.com/MariaLucha60","@MariaLucha60")</f>
        <v>@MariaLucha60</v>
      </c>
      <c r="C2010" s="8" t="s">
        <v>6806</v>
      </c>
      <c r="D2010" s="9" t="s">
        <v>6807</v>
      </c>
      <c r="E2010" s="10" t="str">
        <f>HYPERLINK("https://twitter.com/MariaLucha60/status/1070751035386458112","1070751035386458112")</f>
        <v>1070751035386458112</v>
      </c>
      <c r="F2010" s="11" t="s">
        <v>6808</v>
      </c>
      <c r="G2010" s="12"/>
      <c r="H2010" s="12"/>
      <c r="I2010" s="13">
        <v>5</v>
      </c>
      <c r="J2010" s="13">
        <v>6</v>
      </c>
      <c r="K2010" s="14" t="str">
        <f>HYPERLINK("http://twitter.com/download/android","Twitter for Android")</f>
        <v>Twitter for Android</v>
      </c>
      <c r="L2010" s="13">
        <v>902</v>
      </c>
      <c r="M2010" s="13">
        <v>447</v>
      </c>
      <c r="N2010" s="13">
        <v>9</v>
      </c>
      <c r="O2010" s="15"/>
      <c r="P2010" s="6">
        <v>43038.430937500001</v>
      </c>
      <c r="Q2010" s="12"/>
      <c r="R2010" s="17" t="s">
        <v>6809</v>
      </c>
      <c r="S2010" s="12"/>
      <c r="T2010" s="12"/>
      <c r="U2010" s="10" t="str">
        <f>HYPERLINK("https://pbs.twimg.com/profile_images/1049048836558217218/NZws3cqS.jpg","View")</f>
        <v>View</v>
      </c>
    </row>
    <row r="2011" spans="1:21" ht="40.799999999999997">
      <c r="A2011" s="6">
        <v>43440.822280092594</v>
      </c>
      <c r="B2011" s="7" t="str">
        <f>HYPERLINK("https://twitter.com/javierperez","@javierperez")</f>
        <v>@javierperez</v>
      </c>
      <c r="C2011" s="8" t="s">
        <v>6810</v>
      </c>
      <c r="D2011" s="9" t="s">
        <v>6811</v>
      </c>
      <c r="E2011" s="10" t="str">
        <f>HYPERLINK("https://twitter.com/javierperez/status/1070750742787604482","1070750742787604482")</f>
        <v>1070750742787604482</v>
      </c>
      <c r="F2011" s="11" t="s">
        <v>3202</v>
      </c>
      <c r="G2011" s="12"/>
      <c r="H2011" s="12"/>
      <c r="I2011" s="13">
        <v>0</v>
      </c>
      <c r="J2011" s="13">
        <v>0</v>
      </c>
      <c r="K2011" s="14" t="str">
        <f>HYPERLINK("http://www.facebook.com/twitter","Facebook")</f>
        <v>Facebook</v>
      </c>
      <c r="L2011" s="13">
        <v>1168</v>
      </c>
      <c r="M2011" s="13">
        <v>316</v>
      </c>
      <c r="N2011" s="13">
        <v>126</v>
      </c>
      <c r="O2011" s="15"/>
      <c r="P2011" s="6">
        <v>39139.691423611112</v>
      </c>
      <c r="Q2011" s="16" t="s">
        <v>200</v>
      </c>
      <c r="R2011" s="17" t="s">
        <v>6812</v>
      </c>
      <c r="S2011" s="11" t="s">
        <v>6813</v>
      </c>
      <c r="T2011" s="12"/>
      <c r="U2011" s="10" t="str">
        <f>HYPERLINK("https://pbs.twimg.com/profile_images/795192902037151744/2e8wMT6S.jpg","View")</f>
        <v>View</v>
      </c>
    </row>
    <row r="2012" spans="1:21" ht="30.6">
      <c r="A2012" s="6">
        <v>43440.821238425924</v>
      </c>
      <c r="B2012" s="7" t="str">
        <f>HYPERLINK("https://twitter.com/annaprats","@annaprats")</f>
        <v>@annaprats</v>
      </c>
      <c r="C2012" s="8" t="s">
        <v>6814</v>
      </c>
      <c r="D2012" s="9" t="s">
        <v>6815</v>
      </c>
      <c r="E2012" s="10" t="str">
        <f>HYPERLINK("https://twitter.com/annaprats/status/1070750366684381184","1070750366684381184")</f>
        <v>1070750366684381184</v>
      </c>
      <c r="F2012" s="11" t="s">
        <v>3202</v>
      </c>
      <c r="G2012" s="12"/>
      <c r="H2012" s="12"/>
      <c r="I2012" s="13">
        <v>4</v>
      </c>
      <c r="J2012" s="13">
        <v>21</v>
      </c>
      <c r="K2012" s="14" t="str">
        <f t="shared" ref="K2012:K2013" si="357">HYPERLINK("http://twitter.com","Twitter Web Client")</f>
        <v>Twitter Web Client</v>
      </c>
      <c r="L2012" s="13">
        <v>8761</v>
      </c>
      <c r="M2012" s="13">
        <v>1514</v>
      </c>
      <c r="N2012" s="13">
        <v>67</v>
      </c>
      <c r="O2012" s="15"/>
      <c r="P2012" s="6">
        <v>40286.024224537039</v>
      </c>
      <c r="Q2012" s="16" t="s">
        <v>6816</v>
      </c>
      <c r="R2012" s="17" t="s">
        <v>6817</v>
      </c>
      <c r="S2012" s="11" t="s">
        <v>6818</v>
      </c>
      <c r="T2012" s="12"/>
      <c r="U2012" s="10" t="str">
        <f>HYPERLINK("https://pbs.twimg.com/profile_images/1068898990173929472/QSmLk6P1.jpg","View")</f>
        <v>View</v>
      </c>
    </row>
    <row r="2013" spans="1:21" ht="30.6">
      <c r="A2013" s="6">
        <v>43440.819976851853</v>
      </c>
      <c r="B2013" s="7" t="str">
        <f>HYPERLINK("https://twitter.com/PilotoRojo73","@PilotoRojo73")</f>
        <v>@PilotoRojo73</v>
      </c>
      <c r="C2013" s="8" t="s">
        <v>6819</v>
      </c>
      <c r="D2013" s="9" t="s">
        <v>4198</v>
      </c>
      <c r="E2013" s="10" t="str">
        <f>HYPERLINK("https://twitter.com/PilotoRojo73/status/1070749910868377600","1070749910868377600")</f>
        <v>1070749910868377600</v>
      </c>
      <c r="F2013" s="11" t="s">
        <v>1185</v>
      </c>
      <c r="G2013" s="12"/>
      <c r="H2013" s="12"/>
      <c r="I2013" s="13">
        <v>0</v>
      </c>
      <c r="J2013" s="13">
        <v>1</v>
      </c>
      <c r="K2013" s="14" t="str">
        <f t="shared" si="357"/>
        <v>Twitter Web Client</v>
      </c>
      <c r="L2013" s="13">
        <v>10333</v>
      </c>
      <c r="M2013" s="13">
        <v>7951</v>
      </c>
      <c r="N2013" s="13">
        <v>61</v>
      </c>
      <c r="O2013" s="15"/>
      <c r="P2013" s="6">
        <v>42494.038310185184</v>
      </c>
      <c r="Q2013" s="16" t="s">
        <v>6820</v>
      </c>
      <c r="R2013" s="17" t="s">
        <v>6821</v>
      </c>
      <c r="S2013" s="11" t="s">
        <v>6822</v>
      </c>
      <c r="T2013" s="12"/>
      <c r="U2013" s="10" t="str">
        <f>HYPERLINK("https://pbs.twimg.com/profile_images/1051228030612492288/ocTykL51.jpg","View")</f>
        <v>View</v>
      </c>
    </row>
    <row r="2014" spans="1:21" ht="20.399999999999999">
      <c r="A2014" s="6">
        <v>43440.819733796292</v>
      </c>
      <c r="B2014" s="7" t="str">
        <f>HYPERLINK("https://twitter.com/chechu_valbuena","@chechu_valbuena")</f>
        <v>@chechu_valbuena</v>
      </c>
      <c r="C2014" s="8" t="s">
        <v>6823</v>
      </c>
      <c r="D2014" s="9" t="s">
        <v>6824</v>
      </c>
      <c r="E2014" s="10" t="str">
        <f>HYPERLINK("https://twitter.com/chechu_valbuena/status/1070749821596852225","1070749821596852225")</f>
        <v>1070749821596852225</v>
      </c>
      <c r="F2014" s="11" t="s">
        <v>2582</v>
      </c>
      <c r="G2014" s="12"/>
      <c r="H2014" s="12"/>
      <c r="I2014" s="13">
        <v>0</v>
      </c>
      <c r="J2014" s="13">
        <v>0</v>
      </c>
      <c r="K2014" s="14" t="str">
        <f t="shared" ref="K2014:K2015" si="358">HYPERLINK("http://twitter.com/#!/download/ipad","Twitter for iPad")</f>
        <v>Twitter for iPad</v>
      </c>
      <c r="L2014" s="13">
        <v>1141</v>
      </c>
      <c r="M2014" s="13">
        <v>2206</v>
      </c>
      <c r="N2014" s="13">
        <v>18</v>
      </c>
      <c r="O2014" s="15"/>
      <c r="P2014" s="6">
        <v>40812.446759259255</v>
      </c>
      <c r="Q2014" s="12"/>
      <c r="R2014" s="17" t="s">
        <v>6825</v>
      </c>
      <c r="S2014" s="11" t="s">
        <v>6826</v>
      </c>
      <c r="T2014" s="12"/>
      <c r="U2014" s="10" t="str">
        <f>HYPERLINK("https://pbs.twimg.com/profile_images/1030421200026173440/G3Wa9zBO.jpg","View")</f>
        <v>View</v>
      </c>
    </row>
    <row r="2015" spans="1:21" ht="40.799999999999997">
      <c r="A2015" s="6">
        <v>43440.81967592593</v>
      </c>
      <c r="B2015" s="7" t="str">
        <f>HYPERLINK("https://twitter.com/miangova52","@miangova52")</f>
        <v>@miangova52</v>
      </c>
      <c r="C2015" s="8" t="s">
        <v>1832</v>
      </c>
      <c r="D2015" s="9" t="s">
        <v>6135</v>
      </c>
      <c r="E2015" s="10" t="str">
        <f>HYPERLINK("https://twitter.com/miangova52/status/1070749799413092353","1070749799413092353")</f>
        <v>1070749799413092353</v>
      </c>
      <c r="F2015" s="11" t="s">
        <v>6136</v>
      </c>
      <c r="G2015" s="12"/>
      <c r="H2015" s="12"/>
      <c r="I2015" s="13">
        <v>0</v>
      </c>
      <c r="J2015" s="13">
        <v>0</v>
      </c>
      <c r="K2015" s="14" t="str">
        <f t="shared" si="358"/>
        <v>Twitter for iPad</v>
      </c>
      <c r="L2015" s="13">
        <v>170</v>
      </c>
      <c r="M2015" s="13">
        <v>1035</v>
      </c>
      <c r="N2015" s="13">
        <v>3</v>
      </c>
      <c r="O2015" s="15"/>
      <c r="P2015" s="6">
        <v>41210.901041666664</v>
      </c>
      <c r="Q2015" s="16" t="s">
        <v>797</v>
      </c>
      <c r="R2015" s="17" t="s">
        <v>1836</v>
      </c>
      <c r="S2015" s="11" t="s">
        <v>1837</v>
      </c>
      <c r="T2015" s="12"/>
      <c r="U2015" s="10" t="str">
        <f>HYPERLINK("https://pbs.twimg.com/profile_images/1063835534018207745/x5WXiHJ1.jpg","View")</f>
        <v>View</v>
      </c>
    </row>
    <row r="2016" spans="1:21" ht="20.399999999999999">
      <c r="A2016" s="6">
        <v>43440.819664351853</v>
      </c>
      <c r="B2016" s="7" t="str">
        <f>HYPERLINK("https://twitter.com/zamozu","@zamozu")</f>
        <v>@zamozu</v>
      </c>
      <c r="C2016" s="8" t="s">
        <v>2879</v>
      </c>
      <c r="D2016" s="9" t="s">
        <v>6827</v>
      </c>
      <c r="E2016" s="10" t="str">
        <f>HYPERLINK("https://twitter.com/zamozu/status/1070749797177573376","1070749797177573376")</f>
        <v>1070749797177573376</v>
      </c>
      <c r="F2016" s="11" t="s">
        <v>6828</v>
      </c>
      <c r="G2016" s="12"/>
      <c r="H2016" s="12"/>
      <c r="I2016" s="13">
        <v>0</v>
      </c>
      <c r="J2016" s="13">
        <v>0</v>
      </c>
      <c r="K2016" s="14" t="str">
        <f>HYPERLINK("http://twitter.com","Twitter Web Client")</f>
        <v>Twitter Web Client</v>
      </c>
      <c r="L2016" s="13">
        <v>624</v>
      </c>
      <c r="M2016" s="13">
        <v>1496</v>
      </c>
      <c r="N2016" s="13">
        <v>2</v>
      </c>
      <c r="O2016" s="15"/>
      <c r="P2016" s="6">
        <v>40641.783576388887</v>
      </c>
      <c r="Q2016" s="16" t="s">
        <v>60</v>
      </c>
      <c r="R2016" s="17" t="s">
        <v>2882</v>
      </c>
      <c r="S2016" s="11" t="s">
        <v>2883</v>
      </c>
      <c r="T2016" s="12"/>
      <c r="U2016" s="10" t="str">
        <f>HYPERLINK("https://pbs.twimg.com/profile_images/1877270561/09.jpg","View")</f>
        <v>View</v>
      </c>
    </row>
    <row r="2017" spans="1:21" ht="40.799999999999997">
      <c r="A2017" s="6">
        <v>43440.81958333333</v>
      </c>
      <c r="B2017" s="7" t="str">
        <f>HYPERLINK("https://twitter.com/LaiaFacet","@LaiaFacet")</f>
        <v>@LaiaFacet</v>
      </c>
      <c r="C2017" s="8" t="s">
        <v>6829</v>
      </c>
      <c r="D2017" s="9" t="s">
        <v>6830</v>
      </c>
      <c r="E2017" s="10" t="str">
        <f>HYPERLINK("https://twitter.com/LaiaFacet/status/1070749764453568512","1070749764453568512")</f>
        <v>1070749764453568512</v>
      </c>
      <c r="F2017" s="11" t="s">
        <v>2522</v>
      </c>
      <c r="G2017" s="12"/>
      <c r="H2017" s="12"/>
      <c r="I2017" s="13">
        <v>4</v>
      </c>
      <c r="J2017" s="13">
        <v>5</v>
      </c>
      <c r="K2017" s="14" t="str">
        <f t="shared" ref="K2017:K2018" si="359">HYPERLINK("http://twitter.com/download/android","Twitter for Android")</f>
        <v>Twitter for Android</v>
      </c>
      <c r="L2017" s="13">
        <v>1169</v>
      </c>
      <c r="M2017" s="13">
        <v>718</v>
      </c>
      <c r="N2017" s="13">
        <v>10</v>
      </c>
      <c r="O2017" s="15"/>
      <c r="P2017" s="6">
        <v>41271.783379629633</v>
      </c>
      <c r="Q2017" s="16" t="s">
        <v>2725</v>
      </c>
      <c r="R2017" s="17" t="s">
        <v>6831</v>
      </c>
      <c r="S2017" s="12"/>
      <c r="T2017" s="12"/>
      <c r="U2017" s="10" t="str">
        <f>HYPERLINK("https://pbs.twimg.com/profile_images/1041255560237273088/1-kmHi_Z.jpg","View")</f>
        <v>View</v>
      </c>
    </row>
    <row r="2018" spans="1:21" ht="40.799999999999997">
      <c r="A2018" s="6">
        <v>43440.819444444445</v>
      </c>
      <c r="B2018" s="7" t="str">
        <f>HYPERLINK("https://twitter.com/luisama95978003","@luisama95978003")</f>
        <v>@luisama95978003</v>
      </c>
      <c r="C2018" s="8" t="s">
        <v>6832</v>
      </c>
      <c r="D2018" s="9" t="s">
        <v>6833</v>
      </c>
      <c r="E2018" s="10" t="str">
        <f>HYPERLINK("https://twitter.com/luisama95978003/status/1070749715967426560","1070749715967426560")</f>
        <v>1070749715967426560</v>
      </c>
      <c r="F2018" s="11" t="s">
        <v>4639</v>
      </c>
      <c r="G2018" s="12"/>
      <c r="H2018" s="12"/>
      <c r="I2018" s="13">
        <v>0</v>
      </c>
      <c r="J2018" s="13">
        <v>0</v>
      </c>
      <c r="K2018" s="14" t="str">
        <f t="shared" si="359"/>
        <v>Twitter for Android</v>
      </c>
      <c r="L2018" s="13">
        <v>204</v>
      </c>
      <c r="M2018" s="13">
        <v>291</v>
      </c>
      <c r="N2018" s="13">
        <v>0</v>
      </c>
      <c r="O2018" s="15"/>
      <c r="P2018" s="6">
        <v>42900.109085648146</v>
      </c>
      <c r="Q2018" s="16" t="s">
        <v>60</v>
      </c>
      <c r="R2018" s="17" t="s">
        <v>6834</v>
      </c>
      <c r="S2018" s="12"/>
      <c r="T2018" s="12"/>
      <c r="U2018" s="10" t="str">
        <f>HYPERLINK("https://pbs.twimg.com/profile_images/1036031166984404992/xAqbk3kY.jpg","View")</f>
        <v>View</v>
      </c>
    </row>
    <row r="2019" spans="1:21" ht="40.799999999999997">
      <c r="A2019" s="6">
        <v>43440.818854166668</v>
      </c>
      <c r="B2019" s="7" t="str">
        <f>HYPERLINK("https://twitter.com/AntonioRNaranjo","@AntonioRNaranjo")</f>
        <v>@AntonioRNaranjo</v>
      </c>
      <c r="C2019" s="8" t="s">
        <v>6835</v>
      </c>
      <c r="D2019" s="9" t="s">
        <v>4213</v>
      </c>
      <c r="E2019" s="10" t="str">
        <f>HYPERLINK("https://twitter.com/AntonioRNaranjo/status/1070749503559479303","1070749503559479303")</f>
        <v>1070749503559479303</v>
      </c>
      <c r="F2019" s="11" t="s">
        <v>467</v>
      </c>
      <c r="G2019" s="12"/>
      <c r="H2019" s="12"/>
      <c r="I2019" s="13">
        <v>223</v>
      </c>
      <c r="J2019" s="13">
        <v>455</v>
      </c>
      <c r="K2019" s="14" t="str">
        <f>HYPERLINK("http://twitter.com/#!/download/ipad","Twitter for iPad")</f>
        <v>Twitter for iPad</v>
      </c>
      <c r="L2019" s="13">
        <v>38776</v>
      </c>
      <c r="M2019" s="13">
        <v>999</v>
      </c>
      <c r="N2019" s="13">
        <v>727</v>
      </c>
      <c r="O2019" s="15"/>
      <c r="P2019" s="6">
        <v>40092.434618055559</v>
      </c>
      <c r="Q2019" s="16" t="s">
        <v>6836</v>
      </c>
      <c r="R2019" s="17" t="s">
        <v>6837</v>
      </c>
      <c r="S2019" s="11" t="s">
        <v>6838</v>
      </c>
      <c r="T2019" s="12"/>
      <c r="U2019" s="10" t="str">
        <f>HYPERLINK("https://pbs.twimg.com/profile_images/914332049061883906/nDDFYCio.jpg","View")</f>
        <v>View</v>
      </c>
    </row>
    <row r="2020" spans="1:21" ht="51">
      <c r="A2020" s="6">
        <v>43440.818460648152</v>
      </c>
      <c r="B2020" s="7" t="str">
        <f>HYPERLINK("https://twitter.com/mordazados","@mordazados")</f>
        <v>@mordazados</v>
      </c>
      <c r="C2020" s="8" t="s">
        <v>6073</v>
      </c>
      <c r="D2020" s="9" t="s">
        <v>6839</v>
      </c>
      <c r="E2020" s="10" t="str">
        <f>HYPERLINK("https://twitter.com/mordazados/status/1070749360403697666","1070749360403697666")</f>
        <v>1070749360403697666</v>
      </c>
      <c r="F2020" s="11" t="s">
        <v>4815</v>
      </c>
      <c r="G2020" s="12"/>
      <c r="H2020" s="12"/>
      <c r="I2020" s="13">
        <v>5</v>
      </c>
      <c r="J2020" s="13">
        <v>2</v>
      </c>
      <c r="K2020" s="14" t="str">
        <f t="shared" ref="K2020:K2021" si="360">HYPERLINK("http://twitter.com/download/android","Twitter for Android")</f>
        <v>Twitter for Android</v>
      </c>
      <c r="L2020" s="13">
        <v>2710</v>
      </c>
      <c r="M2020" s="13">
        <v>2012</v>
      </c>
      <c r="N2020" s="13">
        <v>12</v>
      </c>
      <c r="O2020" s="15"/>
      <c r="P2020" s="6">
        <v>42256.525879629626</v>
      </c>
      <c r="Q2020" s="12"/>
      <c r="R2020" s="19"/>
      <c r="S2020" s="12"/>
      <c r="T2020" s="12"/>
      <c r="U2020" s="10" t="str">
        <f>HYPERLINK("https://pbs.twimg.com/profile_images/1051012201094496256/FGLyUHOp.jpg","View")</f>
        <v>View</v>
      </c>
    </row>
    <row r="2021" spans="1:21" ht="71.400000000000006">
      <c r="A2021" s="6">
        <v>43440.818460648152</v>
      </c>
      <c r="B2021" s="7" t="str">
        <f>HYPERLINK("https://twitter.com/gibrain30","@gibrain30")</f>
        <v>@gibrain30</v>
      </c>
      <c r="C2021" s="8" t="s">
        <v>756</v>
      </c>
      <c r="D2021" s="9" t="s">
        <v>6840</v>
      </c>
      <c r="E2021" s="10" t="str">
        <f>HYPERLINK("https://twitter.com/gibrain30/status/1070749359187341313","1070749359187341313")</f>
        <v>1070749359187341313</v>
      </c>
      <c r="F2021" s="16" t="s">
        <v>6841</v>
      </c>
      <c r="G2021" s="12"/>
      <c r="H2021" s="12"/>
      <c r="I2021" s="13">
        <v>0</v>
      </c>
      <c r="J2021" s="13">
        <v>0</v>
      </c>
      <c r="K2021" s="14" t="str">
        <f t="shared" si="360"/>
        <v>Twitter for Android</v>
      </c>
      <c r="L2021" s="13">
        <v>107</v>
      </c>
      <c r="M2021" s="13">
        <v>225</v>
      </c>
      <c r="N2021" s="13">
        <v>0</v>
      </c>
      <c r="O2021" s="15"/>
      <c r="P2021" s="6">
        <v>41920.833657407406</v>
      </c>
      <c r="Q2021" s="12"/>
      <c r="R2021" s="17" t="s">
        <v>758</v>
      </c>
      <c r="S2021" s="12"/>
      <c r="T2021" s="12"/>
      <c r="U2021" s="10" t="str">
        <f>HYPERLINK("https://pbs.twimg.com/profile_images/1029306890835173376/JHBPM6GF.jpg","View")</f>
        <v>View</v>
      </c>
    </row>
    <row r="2022" spans="1:21" ht="71.400000000000006">
      <c r="A2022" s="6">
        <v>43440.817326388889</v>
      </c>
      <c r="B2022" s="7" t="str">
        <f>HYPERLINK("https://twitter.com/RetogenesC","@RetogenesC")</f>
        <v>@RetogenesC</v>
      </c>
      <c r="C2022" s="8" t="s">
        <v>687</v>
      </c>
      <c r="D2022" s="9" t="s">
        <v>6842</v>
      </c>
      <c r="E2022" s="10" t="str">
        <f>HYPERLINK("https://twitter.com/RetogenesC/status/1070748947688419329","1070748947688419329")</f>
        <v>1070748947688419329</v>
      </c>
      <c r="F2022" s="12"/>
      <c r="G2022" s="12"/>
      <c r="H2022" s="12"/>
      <c r="I2022" s="13">
        <v>2</v>
      </c>
      <c r="J2022" s="13">
        <v>3</v>
      </c>
      <c r="K2022" s="14" t="str">
        <f>HYPERLINK("http://twitter.com","Twitter Web Client")</f>
        <v>Twitter Web Client</v>
      </c>
      <c r="L2022" s="13">
        <v>567</v>
      </c>
      <c r="M2022" s="13">
        <v>814</v>
      </c>
      <c r="N2022" s="13">
        <v>1</v>
      </c>
      <c r="O2022" s="15"/>
      <c r="P2022" s="6">
        <v>43402.911990740744</v>
      </c>
      <c r="Q2022" s="16" t="s">
        <v>690</v>
      </c>
      <c r="R2022" s="17" t="s">
        <v>691</v>
      </c>
      <c r="S2022" s="12"/>
      <c r="T2022" s="12"/>
      <c r="U2022" s="10" t="str">
        <f>HYPERLINK("https://pbs.twimg.com/profile_images/1057387412169674753/70xRfk8A.jpg","View")</f>
        <v>View</v>
      </c>
    </row>
    <row r="2023" spans="1:21" ht="13.2">
      <c r="A2023" s="6">
        <v>43440.817164351851</v>
      </c>
      <c r="B2023" s="7" t="str">
        <f>HYPERLINK("https://twitter.com/AfroParadise","@AfroParadise")</f>
        <v>@AfroParadise</v>
      </c>
      <c r="C2023" s="8" t="s">
        <v>6845</v>
      </c>
      <c r="D2023" s="9" t="s">
        <v>6846</v>
      </c>
      <c r="E2023" s="10" t="str">
        <f>HYPERLINK("https://twitter.com/AfroParadise/status/1070748889190412288","1070748889190412288")</f>
        <v>1070748889190412288</v>
      </c>
      <c r="F2023" s="11" t="s">
        <v>6847</v>
      </c>
      <c r="G2023" s="12"/>
      <c r="H2023" s="12"/>
      <c r="I2023" s="13">
        <v>0</v>
      </c>
      <c r="J2023" s="13">
        <v>1</v>
      </c>
      <c r="K2023" s="14" t="str">
        <f>HYPERLINK("https://about.twitter.com/products/tweetdeck","TweetDeck")</f>
        <v>TweetDeck</v>
      </c>
      <c r="L2023" s="13">
        <v>199</v>
      </c>
      <c r="M2023" s="13">
        <v>404</v>
      </c>
      <c r="N2023" s="13">
        <v>43</v>
      </c>
      <c r="O2023" s="15"/>
      <c r="P2023" s="6">
        <v>41056.810567129629</v>
      </c>
      <c r="Q2023" s="16" t="s">
        <v>6848</v>
      </c>
      <c r="R2023" s="17" t="s">
        <v>6849</v>
      </c>
      <c r="S2023" s="12"/>
      <c r="T2023" s="12"/>
      <c r="U2023" s="10" t="str">
        <f>HYPERLINK("https://pbs.twimg.com/profile_images/1035126384711094273/cBeQOFSD.jpg","View")</f>
        <v>View</v>
      </c>
    </row>
    <row r="2024" spans="1:21" ht="20.399999999999999">
      <c r="A2024" s="6">
        <v>43440.817071759258</v>
      </c>
      <c r="B2024" s="7" t="str">
        <f>HYPERLINK("https://twitter.com/JesusPellejer","@JesusPellejer")</f>
        <v>@JesusPellejer</v>
      </c>
      <c r="C2024" s="8" t="s">
        <v>6850</v>
      </c>
      <c r="D2024" s="9" t="s">
        <v>2521</v>
      </c>
      <c r="E2024" s="10" t="str">
        <f>HYPERLINK("https://twitter.com/JesusPellejer/status/1070748857284378624","1070748857284378624")</f>
        <v>1070748857284378624</v>
      </c>
      <c r="F2024" s="11" t="s">
        <v>2522</v>
      </c>
      <c r="G2024" s="12"/>
      <c r="H2024" s="12"/>
      <c r="I2024" s="13">
        <v>0</v>
      </c>
      <c r="J2024" s="13">
        <v>0</v>
      </c>
      <c r="K2024" s="14" t="str">
        <f>HYPERLINK("http://twitter.com/download/iphone","Twitter for iPhone")</f>
        <v>Twitter for iPhone</v>
      </c>
      <c r="L2024" s="13">
        <v>269</v>
      </c>
      <c r="M2024" s="13">
        <v>647</v>
      </c>
      <c r="N2024" s="13">
        <v>1</v>
      </c>
      <c r="O2024" s="15"/>
      <c r="P2024" s="6">
        <v>42658.549571759257</v>
      </c>
      <c r="Q2024" s="12"/>
      <c r="R2024" s="19"/>
      <c r="S2024" s="12"/>
      <c r="T2024" s="12"/>
      <c r="U2024" s="10" t="str">
        <f>HYPERLINK("https://pbs.twimg.com/profile_images/940655401229529088/-6umzXFL.jpg","View")</f>
        <v>View</v>
      </c>
    </row>
    <row r="2025" spans="1:21" ht="40.799999999999997">
      <c r="A2025" s="6">
        <v>43440.816412037035</v>
      </c>
      <c r="B2025" s="7" t="str">
        <f>HYPERLINK("https://twitter.com/RamonTrivino","@RamonTrivino")</f>
        <v>@RamonTrivino</v>
      </c>
      <c r="C2025" s="8" t="s">
        <v>5445</v>
      </c>
      <c r="D2025" s="9" t="s">
        <v>4198</v>
      </c>
      <c r="E2025" s="10" t="str">
        <f>HYPERLINK("https://twitter.com/RamonTrivino/status/1070748616975966208","1070748616975966208")</f>
        <v>1070748616975966208</v>
      </c>
      <c r="F2025" s="11" t="s">
        <v>1185</v>
      </c>
      <c r="G2025" s="12"/>
      <c r="H2025" s="12"/>
      <c r="I2025" s="13">
        <v>1</v>
      </c>
      <c r="J2025" s="13">
        <v>3</v>
      </c>
      <c r="K2025" s="14" t="str">
        <f>HYPERLINK("http://twitter.com/download/android","Twitter for Android")</f>
        <v>Twitter for Android</v>
      </c>
      <c r="L2025" s="13">
        <v>1582</v>
      </c>
      <c r="M2025" s="13">
        <v>767</v>
      </c>
      <c r="N2025" s="13">
        <v>38</v>
      </c>
      <c r="O2025" s="15"/>
      <c r="P2025" s="6">
        <v>40640.568657407406</v>
      </c>
      <c r="Q2025" s="16" t="s">
        <v>60</v>
      </c>
      <c r="R2025" s="17" t="s">
        <v>5447</v>
      </c>
      <c r="S2025" s="16" t="s">
        <v>5448</v>
      </c>
      <c r="T2025" s="12"/>
      <c r="U2025" s="10" t="str">
        <f>HYPERLINK("https://pbs.twimg.com/profile_images/934117912494985218/iDOzl85e.jpg","View")</f>
        <v>View</v>
      </c>
    </row>
    <row r="2026" spans="1:21" ht="20.399999999999999">
      <c r="A2026" s="6">
        <v>43440.816018518519</v>
      </c>
      <c r="B2026" s="7" t="str">
        <f>HYPERLINK("https://twitter.com/PoliticaNWS","@PoliticaNWS")</f>
        <v>@PoliticaNWS</v>
      </c>
      <c r="C2026" s="8" t="s">
        <v>1168</v>
      </c>
      <c r="D2026" s="9" t="s">
        <v>6853</v>
      </c>
      <c r="E2026" s="10" t="str">
        <f>HYPERLINK("https://twitter.com/PoliticaNWS/status/1070748475426508802","1070748475426508802")</f>
        <v>1070748475426508802</v>
      </c>
      <c r="F2026" s="11" t="s">
        <v>1170</v>
      </c>
      <c r="G2026" s="12"/>
      <c r="H2026" s="12"/>
      <c r="I2026" s="13">
        <v>3</v>
      </c>
      <c r="J2026" s="13">
        <v>2</v>
      </c>
      <c r="K2026" s="14" t="str">
        <f>HYPERLINK("http://www.bolsamania.com","PoliticaNWS")</f>
        <v>PoliticaNWS</v>
      </c>
      <c r="L2026" s="13">
        <v>2612</v>
      </c>
      <c r="M2026" s="13">
        <v>4025</v>
      </c>
      <c r="N2026" s="13">
        <v>13</v>
      </c>
      <c r="O2026" s="15"/>
      <c r="P2026" s="6">
        <v>42311.4684375</v>
      </c>
      <c r="Q2026" s="12"/>
      <c r="R2026" s="19"/>
      <c r="S2026" s="12"/>
      <c r="T2026" s="12"/>
      <c r="U2026" s="10" t="str">
        <f>HYPERLINK("https://pbs.twimg.com/profile_images/661486965175558144/PaHywOHe.jpg","View")</f>
        <v>View</v>
      </c>
    </row>
    <row r="2027" spans="1:21" ht="40.799999999999997">
      <c r="A2027" s="6">
        <v>43440.815914351857</v>
      </c>
      <c r="B2027" s="7" t="str">
        <f>HYPERLINK("https://twitter.com/Sanfermin00","@Sanfermin00")</f>
        <v>@Sanfermin00</v>
      </c>
      <c r="C2027" s="8" t="s">
        <v>3942</v>
      </c>
      <c r="D2027" s="9" t="s">
        <v>6854</v>
      </c>
      <c r="E2027" s="10" t="str">
        <f>HYPERLINK("https://twitter.com/Sanfermin00/status/1070748437627461633","1070748437627461633")</f>
        <v>1070748437627461633</v>
      </c>
      <c r="F2027" s="11" t="s">
        <v>6855</v>
      </c>
      <c r="G2027" s="12"/>
      <c r="H2027" s="12"/>
      <c r="I2027" s="13">
        <v>0</v>
      </c>
      <c r="J2027" s="13">
        <v>0</v>
      </c>
      <c r="K2027" s="14" t="str">
        <f>HYPERLINK("http://twitter.com","Twitter Web Client")</f>
        <v>Twitter Web Client</v>
      </c>
      <c r="L2027" s="13">
        <v>16528</v>
      </c>
      <c r="M2027" s="13">
        <v>13714</v>
      </c>
      <c r="N2027" s="13">
        <v>122</v>
      </c>
      <c r="O2027" s="15"/>
      <c r="P2027" s="6">
        <v>42362.637083333335</v>
      </c>
      <c r="Q2027" s="16" t="s">
        <v>3945</v>
      </c>
      <c r="R2027" s="17" t="s">
        <v>3946</v>
      </c>
      <c r="S2027" s="11" t="s">
        <v>3947</v>
      </c>
      <c r="T2027" s="12"/>
      <c r="U2027" s="10" t="str">
        <f>HYPERLINK("https://pbs.twimg.com/profile_images/1064102923624480768/j11dV2-u.jpg","View")</f>
        <v>View</v>
      </c>
    </row>
    <row r="2028" spans="1:21" ht="20.399999999999999">
      <c r="A2028" s="6">
        <v>43440.81559027778</v>
      </c>
      <c r="B2028" s="7" t="str">
        <f>HYPERLINK("https://twitter.com/fdocarmonamonse","@fdocarmonamonse")</f>
        <v>@fdocarmonamonse</v>
      </c>
      <c r="C2028" s="8" t="s">
        <v>6856</v>
      </c>
      <c r="D2028" s="9" t="s">
        <v>6857</v>
      </c>
      <c r="E2028" s="10" t="str">
        <f>HYPERLINK("https://twitter.com/fdocarmonamonse/status/1070748319931121664","1070748319931121664")</f>
        <v>1070748319931121664</v>
      </c>
      <c r="F2028" s="11" t="s">
        <v>6858</v>
      </c>
      <c r="G2028" s="11" t="s">
        <v>6859</v>
      </c>
      <c r="H2028" s="12"/>
      <c r="I2028" s="13">
        <v>0</v>
      </c>
      <c r="J2028" s="13">
        <v>0</v>
      </c>
      <c r="K2028" s="14" t="str">
        <f>HYPERLINK("http://twitter.com/download/iphone","Twitter for iPhone")</f>
        <v>Twitter for iPhone</v>
      </c>
      <c r="L2028" s="13">
        <v>3273</v>
      </c>
      <c r="M2028" s="13">
        <v>2128</v>
      </c>
      <c r="N2028" s="13">
        <v>68</v>
      </c>
      <c r="O2028" s="15"/>
      <c r="P2028" s="6">
        <v>40703.384120370371</v>
      </c>
      <c r="Q2028" s="16" t="s">
        <v>1238</v>
      </c>
      <c r="R2028" s="17" t="s">
        <v>6860</v>
      </c>
      <c r="S2028" s="12"/>
      <c r="T2028" s="12"/>
      <c r="U2028" s="10" t="str">
        <f>HYPERLINK("https://pbs.twimg.com/profile_images/1064152514671583232/K_Vcko3U.jpg","View")</f>
        <v>View</v>
      </c>
    </row>
    <row r="2029" spans="1:21" ht="20.399999999999999">
      <c r="A2029" s="6">
        <v>43440.814768518518</v>
      </c>
      <c r="B2029" s="7" t="str">
        <f>HYPERLINK("https://twitter.com/GlezFeder","@GlezFeder")</f>
        <v>@GlezFeder</v>
      </c>
      <c r="C2029" s="8" t="s">
        <v>799</v>
      </c>
      <c r="D2029" s="9" t="s">
        <v>1324</v>
      </c>
      <c r="E2029" s="10" t="str">
        <f>HYPERLINK("https://twitter.com/GlezFeder/status/1070748023498653696","1070748023498653696")</f>
        <v>1070748023498653696</v>
      </c>
      <c r="F2029" s="11" t="s">
        <v>467</v>
      </c>
      <c r="G2029" s="12"/>
      <c r="H2029" s="12"/>
      <c r="I2029" s="13">
        <v>0</v>
      </c>
      <c r="J2029" s="13">
        <v>0</v>
      </c>
      <c r="K2029" s="14" t="str">
        <f>HYPERLINK("http://twitter.com","Twitter Web Client")</f>
        <v>Twitter Web Client</v>
      </c>
      <c r="L2029" s="13">
        <v>237</v>
      </c>
      <c r="M2029" s="13">
        <v>267</v>
      </c>
      <c r="N2029" s="13">
        <v>2</v>
      </c>
      <c r="O2029" s="15"/>
      <c r="P2029" s="6">
        <v>43247.825613425928</v>
      </c>
      <c r="Q2029" s="16" t="s">
        <v>802</v>
      </c>
      <c r="R2029" s="17" t="s">
        <v>803</v>
      </c>
      <c r="S2029" s="12"/>
      <c r="T2029" s="12"/>
      <c r="U2029" s="10" t="str">
        <f>HYPERLINK("https://pbs.twimg.com/profile_images/1060247976700973056/3K9K-vjB.jpg","View")</f>
        <v>View</v>
      </c>
    </row>
    <row r="2030" spans="1:21" ht="30.6">
      <c r="A2030" s="6">
        <v>43440.813796296294</v>
      </c>
      <c r="B2030" s="7" t="str">
        <f>HYPERLINK("https://twitter.com/GelGelder","@GelGelder")</f>
        <v>@GelGelder</v>
      </c>
      <c r="C2030" s="8" t="s">
        <v>3391</v>
      </c>
      <c r="D2030" s="9" t="s">
        <v>6861</v>
      </c>
      <c r="E2030" s="10" t="str">
        <f>HYPERLINK("https://twitter.com/GelGelder/status/1070747670120226818","1070747670120226818")</f>
        <v>1070747670120226818</v>
      </c>
      <c r="F2030" s="11" t="s">
        <v>6862</v>
      </c>
      <c r="G2030" s="12"/>
      <c r="H2030" s="12"/>
      <c r="I2030" s="13">
        <v>1</v>
      </c>
      <c r="J2030" s="13">
        <v>1</v>
      </c>
      <c r="K2030" s="14" t="str">
        <f>HYPERLINK("http://twitter.com/download/android","Twitter for Android")</f>
        <v>Twitter for Android</v>
      </c>
      <c r="L2030" s="13">
        <v>2672</v>
      </c>
      <c r="M2030" s="13">
        <v>1322</v>
      </c>
      <c r="N2030" s="13">
        <v>6</v>
      </c>
      <c r="O2030" s="15"/>
      <c r="P2030" s="6">
        <v>40747.641180555554</v>
      </c>
      <c r="Q2030" s="16" t="s">
        <v>3394</v>
      </c>
      <c r="R2030" s="17" t="s">
        <v>3395</v>
      </c>
      <c r="S2030" s="12"/>
      <c r="T2030" s="12"/>
      <c r="U2030" s="10" t="str">
        <f>HYPERLINK("https://pbs.twimg.com/profile_images/687746564006264832/0GqvYzpg.jpg","View")</f>
        <v>View</v>
      </c>
    </row>
    <row r="2031" spans="1:21" ht="20.399999999999999">
      <c r="A2031" s="6">
        <v>43440.813009259262</v>
      </c>
      <c r="B2031" s="7" t="str">
        <f>HYPERLINK("https://twitter.com/PSOEBarajas","@PSOEBarajas")</f>
        <v>@PSOEBarajas</v>
      </c>
      <c r="C2031" s="8" t="s">
        <v>6863</v>
      </c>
      <c r="D2031" s="9" t="s">
        <v>6864</v>
      </c>
      <c r="E2031" s="10" t="str">
        <f>HYPERLINK("https://twitter.com/PSOEBarajas/status/1070747385540812801","1070747385540812801")</f>
        <v>1070747385540812801</v>
      </c>
      <c r="F2031" s="11" t="s">
        <v>398</v>
      </c>
      <c r="G2031" s="12"/>
      <c r="H2031" s="12"/>
      <c r="I2031" s="13">
        <v>1</v>
      </c>
      <c r="J2031" s="13">
        <v>1</v>
      </c>
      <c r="K2031" s="14" t="str">
        <f>HYPERLINK("http://www.facebook.com/twitter","Facebook")</f>
        <v>Facebook</v>
      </c>
      <c r="L2031" s="13">
        <v>1221</v>
      </c>
      <c r="M2031" s="13">
        <v>741</v>
      </c>
      <c r="N2031" s="13">
        <v>24</v>
      </c>
      <c r="O2031" s="15"/>
      <c r="P2031" s="6">
        <v>41526.730474537035</v>
      </c>
      <c r="Q2031" s="16" t="s">
        <v>6865</v>
      </c>
      <c r="R2031" s="17" t="s">
        <v>6866</v>
      </c>
      <c r="S2031" s="11" t="s">
        <v>6867</v>
      </c>
      <c r="T2031" s="12"/>
      <c r="U2031" s="10" t="str">
        <f>HYPERLINK("https://pbs.twimg.com/profile_images/1016245237864452096/NLE0mFJ2.jpg","View")</f>
        <v>View</v>
      </c>
    </row>
    <row r="2032" spans="1:21" ht="30.6">
      <c r="A2032" s="6">
        <v>43440.812974537039</v>
      </c>
      <c r="B2032" s="7" t="str">
        <f>HYPERLINK("https://twitter.com/MareDentano","@MareDentano")</f>
        <v>@MareDentano</v>
      </c>
      <c r="C2032" s="8" t="s">
        <v>6868</v>
      </c>
      <c r="D2032" s="9" t="s">
        <v>6869</v>
      </c>
      <c r="E2032" s="10" t="str">
        <f>HYPERLINK("https://twitter.com/MareDentano/status/1070747371619921920","1070747371619921920")</f>
        <v>1070747371619921920</v>
      </c>
      <c r="F2032" s="12"/>
      <c r="G2032" s="12"/>
      <c r="H2032" s="12"/>
      <c r="I2032" s="13">
        <v>0</v>
      </c>
      <c r="J2032" s="13">
        <v>0</v>
      </c>
      <c r="K2032" s="14" t="str">
        <f>HYPERLINK("https://mobile.twitter.com","Twitter Lite")</f>
        <v>Twitter Lite</v>
      </c>
      <c r="L2032" s="13">
        <v>119</v>
      </c>
      <c r="M2032" s="13">
        <v>158</v>
      </c>
      <c r="N2032" s="13">
        <v>0</v>
      </c>
      <c r="O2032" s="15"/>
      <c r="P2032" s="6">
        <v>41836.688449074078</v>
      </c>
      <c r="Q2032" s="12"/>
      <c r="R2032" s="19"/>
      <c r="S2032" s="12"/>
      <c r="T2032" s="12"/>
      <c r="U2032" s="10" t="str">
        <f>HYPERLINK("https://pbs.twimg.com/profile_images/977899595459186688/aorQ3HCM.jpg","View")</f>
        <v>View</v>
      </c>
    </row>
    <row r="2033" spans="1:21" ht="40.799999999999997">
      <c r="A2033" s="6">
        <v>43440.812581018516</v>
      </c>
      <c r="B2033" s="7" t="str">
        <f>HYPERLINK("https://twitter.com/ORLANDO_G","@ORLANDO_G")</f>
        <v>@ORLANDO_G</v>
      </c>
      <c r="C2033" s="8" t="s">
        <v>6870</v>
      </c>
      <c r="D2033" s="9" t="s">
        <v>6871</v>
      </c>
      <c r="E2033" s="10" t="str">
        <f>HYPERLINK("https://twitter.com/ORLANDO_G/status/1070747230087323648","1070747230087323648")</f>
        <v>1070747230087323648</v>
      </c>
      <c r="F2033" s="11" t="s">
        <v>6872</v>
      </c>
      <c r="G2033" s="12"/>
      <c r="H2033" s="12"/>
      <c r="I2033" s="13">
        <v>0</v>
      </c>
      <c r="J2033" s="13">
        <v>0</v>
      </c>
      <c r="K2033" s="14" t="str">
        <f>HYPERLINK("http://www.facebook.com/twitter","Facebook")</f>
        <v>Facebook</v>
      </c>
      <c r="L2033" s="13">
        <v>53</v>
      </c>
      <c r="M2033" s="13">
        <v>129</v>
      </c>
      <c r="N2033" s="13">
        <v>0</v>
      </c>
      <c r="O2033" s="15"/>
      <c r="P2033" s="6">
        <v>39769.513553240744</v>
      </c>
      <c r="Q2033" s="16" t="s">
        <v>1155</v>
      </c>
      <c r="R2033" s="17" t="s">
        <v>6873</v>
      </c>
      <c r="S2033" s="11" t="s">
        <v>6874</v>
      </c>
      <c r="T2033" s="12"/>
      <c r="U2033" s="10" t="str">
        <f>HYPERLINK("https://pbs.twimg.com/profile_images/1063083811288895490/pyUzXt7j.jpg","View")</f>
        <v>View</v>
      </c>
    </row>
    <row r="2034" spans="1:21" ht="30.6">
      <c r="A2034" s="6">
        <v>43440.812557870369</v>
      </c>
      <c r="B2034" s="7" t="str">
        <f>HYPERLINK("https://twitter.com/emily_habsburg","@emily_habsburg")</f>
        <v>@emily_habsburg</v>
      </c>
      <c r="C2034" s="8" t="s">
        <v>6875</v>
      </c>
      <c r="D2034" s="9" t="s">
        <v>6876</v>
      </c>
      <c r="E2034" s="10" t="str">
        <f>HYPERLINK("https://twitter.com/emily_habsburg/status/1070747218397839360","1070747218397839360")</f>
        <v>1070747218397839360</v>
      </c>
      <c r="F2034" s="11" t="s">
        <v>6877</v>
      </c>
      <c r="G2034" s="12"/>
      <c r="H2034" s="12"/>
      <c r="I2034" s="13">
        <v>2</v>
      </c>
      <c r="J2034" s="13">
        <v>1</v>
      </c>
      <c r="K2034" s="14" t="str">
        <f>HYPERLINK("http://twitter.com/download/iphone","Twitter for iPhone")</f>
        <v>Twitter for iPhone</v>
      </c>
      <c r="L2034" s="13">
        <v>5562</v>
      </c>
      <c r="M2034" s="13">
        <v>1949</v>
      </c>
      <c r="N2034" s="13">
        <v>54</v>
      </c>
      <c r="O2034" s="15"/>
      <c r="P2034" s="6">
        <v>40615.929212962961</v>
      </c>
      <c r="Q2034" s="16" t="s">
        <v>6878</v>
      </c>
      <c r="R2034" s="17" t="s">
        <v>6879</v>
      </c>
      <c r="S2034" s="12"/>
      <c r="T2034" s="12"/>
      <c r="U2034" s="10" t="str">
        <f>HYPERLINK("https://pbs.twimg.com/profile_images/1070744362315862021/Iu-BCfgV.jpg","View")</f>
        <v>View</v>
      </c>
    </row>
    <row r="2035" spans="1:21" ht="40.799999999999997">
      <c r="A2035" s="6">
        <v>43440.8125</v>
      </c>
      <c r="B2035" s="7" t="str">
        <f>HYPERLINK("https://twitter.com/don_Diario","@don_Diario")</f>
        <v>@don_Diario</v>
      </c>
      <c r="C2035" s="20" t="s">
        <v>72</v>
      </c>
      <c r="D2035" s="9" t="s">
        <v>6880</v>
      </c>
      <c r="E2035" s="10" t="str">
        <f>HYPERLINK("https://twitter.com/don_Diario/status/1070747199842201600","1070747199842201600")</f>
        <v>1070747199842201600</v>
      </c>
      <c r="F2035" s="11" t="s">
        <v>6881</v>
      </c>
      <c r="G2035" s="11" t="s">
        <v>6882</v>
      </c>
      <c r="H2035" s="12"/>
      <c r="I2035" s="13">
        <v>0</v>
      </c>
      <c r="J2035" s="13">
        <v>0</v>
      </c>
      <c r="K2035" s="14" t="str">
        <f t="shared" ref="K2035:K2036" si="361">HYPERLINK("https://about.twitter.com/products/tweetdeck","TweetDeck")</f>
        <v>TweetDeck</v>
      </c>
      <c r="L2035" s="13">
        <v>47715</v>
      </c>
      <c r="M2035" s="13">
        <v>92</v>
      </c>
      <c r="N2035" s="13">
        <v>1334</v>
      </c>
      <c r="O2035" s="15"/>
      <c r="P2035" s="6">
        <v>39911.462465277778</v>
      </c>
      <c r="Q2035" s="16" t="s">
        <v>60</v>
      </c>
      <c r="R2035" s="17" t="s">
        <v>79</v>
      </c>
      <c r="S2035" s="11" t="s">
        <v>80</v>
      </c>
      <c r="T2035" s="12"/>
      <c r="U2035" s="10" t="str">
        <f>HYPERLINK("https://pbs.twimg.com/profile_images/1048140162247675904/sLf5W_y0.jpg","View")</f>
        <v>View</v>
      </c>
    </row>
    <row r="2036" spans="1:21" ht="20.399999999999999">
      <c r="A2036" s="6">
        <v>43440.810196759259</v>
      </c>
      <c r="B2036" s="7" t="str">
        <f>HYPERLINK("https://twitter.com/eldiarioes","@eldiarioes")</f>
        <v>@eldiarioes</v>
      </c>
      <c r="C2036" s="20" t="s">
        <v>642</v>
      </c>
      <c r="D2036" s="9" t="s">
        <v>2521</v>
      </c>
      <c r="E2036" s="10" t="str">
        <f>HYPERLINK("https://twitter.com/eldiarioes/status/1070746366215897088","1070746366215897088")</f>
        <v>1070746366215897088</v>
      </c>
      <c r="F2036" s="11" t="s">
        <v>3202</v>
      </c>
      <c r="G2036" s="11" t="s">
        <v>5537</v>
      </c>
      <c r="H2036" s="12"/>
      <c r="I2036" s="13">
        <v>30</v>
      </c>
      <c r="J2036" s="13">
        <v>63</v>
      </c>
      <c r="K2036" s="14" t="str">
        <f t="shared" si="361"/>
        <v>TweetDeck</v>
      </c>
      <c r="L2036" s="13">
        <v>940168</v>
      </c>
      <c r="M2036" s="13">
        <v>456</v>
      </c>
      <c r="N2036" s="13">
        <v>11262</v>
      </c>
      <c r="O2036" s="18" t="s">
        <v>41</v>
      </c>
      <c r="P2036" s="6">
        <v>40992.839189814811</v>
      </c>
      <c r="Q2036" s="12"/>
      <c r="R2036" s="17" t="s">
        <v>643</v>
      </c>
      <c r="S2036" s="11" t="s">
        <v>644</v>
      </c>
      <c r="T2036" s="12"/>
      <c r="U2036" s="10" t="str">
        <f>HYPERLINK("https://pbs.twimg.com/profile_images/1016600645292511232/eYIkIK2s.jpg","View")</f>
        <v>View</v>
      </c>
    </row>
    <row r="2037" spans="1:21" ht="20.399999999999999">
      <c r="A2037" s="6">
        <v>43440.809513888889</v>
      </c>
      <c r="B2037" s="7" t="str">
        <f>HYPERLINK("https://twitter.com/LourdesMartn2","@LourdesMartn2")</f>
        <v>@LourdesMartn2</v>
      </c>
      <c r="C2037" s="8" t="s">
        <v>6885</v>
      </c>
      <c r="D2037" s="9" t="s">
        <v>6886</v>
      </c>
      <c r="E2037" s="10" t="str">
        <f>HYPERLINK("https://twitter.com/LourdesMartn2/status/1070746119276298241","1070746119276298241")</f>
        <v>1070746119276298241</v>
      </c>
      <c r="F2037" s="11" t="s">
        <v>6887</v>
      </c>
      <c r="G2037" s="12"/>
      <c r="H2037" s="12"/>
      <c r="I2037" s="13">
        <v>0</v>
      </c>
      <c r="J2037" s="13">
        <v>0</v>
      </c>
      <c r="K2037" s="14" t="str">
        <f t="shared" ref="K2037:K2038" si="362">HYPERLINK("http://twitter.com","Twitter Web Client")</f>
        <v>Twitter Web Client</v>
      </c>
      <c r="L2037" s="13">
        <v>27</v>
      </c>
      <c r="M2037" s="13">
        <v>40</v>
      </c>
      <c r="N2037" s="13">
        <v>1</v>
      </c>
      <c r="O2037" s="15"/>
      <c r="P2037" s="6">
        <v>40877.450173611112</v>
      </c>
      <c r="Q2037" s="12"/>
      <c r="R2037" s="19"/>
      <c r="S2037" s="12"/>
      <c r="T2037" s="12"/>
      <c r="U2037" s="10" t="str">
        <f>HYPERLINK("https://pbs.twimg.com/profile_images/861238359087296512/Lp-TX-m0.jpg","View")</f>
        <v>View</v>
      </c>
    </row>
    <row r="2038" spans="1:21" ht="71.400000000000006">
      <c r="A2038" s="6">
        <v>43440.808877314819</v>
      </c>
      <c r="B2038" s="7" t="str">
        <f>HYPERLINK("https://twitter.com/agotxi","@agotxi")</f>
        <v>@agotxi</v>
      </c>
      <c r="C2038" s="8" t="s">
        <v>6888</v>
      </c>
      <c r="D2038" s="9" t="s">
        <v>6889</v>
      </c>
      <c r="E2038" s="10" t="str">
        <f>HYPERLINK("https://twitter.com/agotxi/status/1070745887738085377","1070745887738085377")</f>
        <v>1070745887738085377</v>
      </c>
      <c r="F2038" s="16" t="s">
        <v>6890</v>
      </c>
      <c r="G2038" s="11" t="s">
        <v>6891</v>
      </c>
      <c r="H2038" s="12"/>
      <c r="I2038" s="13">
        <v>2</v>
      </c>
      <c r="J2038" s="13">
        <v>6</v>
      </c>
      <c r="K2038" s="14" t="str">
        <f t="shared" si="362"/>
        <v>Twitter Web Client</v>
      </c>
      <c r="L2038" s="13">
        <v>363</v>
      </c>
      <c r="M2038" s="13">
        <v>479</v>
      </c>
      <c r="N2038" s="13">
        <v>1</v>
      </c>
      <c r="O2038" s="15"/>
      <c r="P2038" s="6">
        <v>39581.374849537038</v>
      </c>
      <c r="Q2038" s="16" t="s">
        <v>5451</v>
      </c>
      <c r="R2038" s="17" t="s">
        <v>6892</v>
      </c>
      <c r="S2038" s="12"/>
      <c r="T2038" s="12"/>
      <c r="U2038" s="10" t="str">
        <f>HYPERLINK("https://pbs.twimg.com/profile_images/1561194492/40805_432314137680_542452680_5128002_408494_n.jpg","View")</f>
        <v>View</v>
      </c>
    </row>
    <row r="2039" spans="1:21" ht="40.799999999999997">
      <c r="A2039" s="6">
        <v>43440.80741898148</v>
      </c>
      <c r="B2039" s="7" t="str">
        <f t="shared" ref="B2039:B2040" si="363">HYPERLINK("https://twitter.com/Zibelinam","@Zibelinam")</f>
        <v>@Zibelinam</v>
      </c>
      <c r="C2039" s="8" t="s">
        <v>1730</v>
      </c>
      <c r="D2039" s="9" t="s">
        <v>5749</v>
      </c>
      <c r="E2039" s="10" t="str">
        <f>HYPERLINK("https://twitter.com/Zibelinam/status/1070745359293538308","1070745359293538308")</f>
        <v>1070745359293538308</v>
      </c>
      <c r="F2039" s="11" t="s">
        <v>6893</v>
      </c>
      <c r="G2039" s="12"/>
      <c r="H2039" s="12"/>
      <c r="I2039" s="13">
        <v>0</v>
      </c>
      <c r="J2039" s="13">
        <v>0</v>
      </c>
      <c r="K2039" s="14" t="str">
        <f t="shared" ref="K2039:K2040" si="364">HYPERLINK("http://twitter.com/download/iphone","Twitter for iPhone")</f>
        <v>Twitter for iPhone</v>
      </c>
      <c r="L2039" s="13">
        <v>4133</v>
      </c>
      <c r="M2039" s="13">
        <v>4055</v>
      </c>
      <c r="N2039" s="13">
        <v>20</v>
      </c>
      <c r="O2039" s="15"/>
      <c r="P2039" s="6">
        <v>41405.65353009259</v>
      </c>
      <c r="Q2039" s="16" t="s">
        <v>1732</v>
      </c>
      <c r="R2039" s="17" t="s">
        <v>1733</v>
      </c>
      <c r="S2039" s="12"/>
      <c r="T2039" s="12"/>
      <c r="U2039" s="10" t="str">
        <f t="shared" ref="U2039:U2040" si="365">HYPERLINK("https://pbs.twimg.com/profile_images/929426502416027649/07tvgMQf.jpg","View")</f>
        <v>View</v>
      </c>
    </row>
    <row r="2040" spans="1:21" ht="40.799999999999997">
      <c r="A2040" s="6">
        <v>43440.805775462963</v>
      </c>
      <c r="B2040" s="7" t="str">
        <f t="shared" si="363"/>
        <v>@Zibelinam</v>
      </c>
      <c r="C2040" s="8" t="s">
        <v>1730</v>
      </c>
      <c r="D2040" s="9" t="s">
        <v>4631</v>
      </c>
      <c r="E2040" s="10" t="str">
        <f>HYPERLINK("https://twitter.com/Zibelinam/status/1070744761907187715","1070744761907187715")</f>
        <v>1070744761907187715</v>
      </c>
      <c r="F2040" s="16" t="s">
        <v>6894</v>
      </c>
      <c r="G2040" s="12"/>
      <c r="H2040" s="12"/>
      <c r="I2040" s="13">
        <v>5</v>
      </c>
      <c r="J2040" s="13">
        <v>2</v>
      </c>
      <c r="K2040" s="14" t="str">
        <f t="shared" si="364"/>
        <v>Twitter for iPhone</v>
      </c>
      <c r="L2040" s="13">
        <v>4133</v>
      </c>
      <c r="M2040" s="13">
        <v>4055</v>
      </c>
      <c r="N2040" s="13">
        <v>20</v>
      </c>
      <c r="O2040" s="15"/>
      <c r="P2040" s="6">
        <v>41405.65353009259</v>
      </c>
      <c r="Q2040" s="16" t="s">
        <v>1732</v>
      </c>
      <c r="R2040" s="17" t="s">
        <v>1733</v>
      </c>
      <c r="S2040" s="12"/>
      <c r="T2040" s="12"/>
      <c r="U2040" s="10" t="str">
        <f t="shared" si="365"/>
        <v>View</v>
      </c>
    </row>
    <row r="2041" spans="1:21" ht="40.799999999999997">
      <c r="A2041" s="6">
        <v>43440.805127314816</v>
      </c>
      <c r="B2041" s="7" t="str">
        <f>HYPERLINK("https://twitter.com/ljcarolv","@ljcarolv")</f>
        <v>@ljcarolv</v>
      </c>
      <c r="C2041" s="8" t="s">
        <v>6895</v>
      </c>
      <c r="D2041" s="9" t="s">
        <v>6896</v>
      </c>
      <c r="E2041" s="10" t="str">
        <f>HYPERLINK("https://twitter.com/ljcarolv/status/1070744527458238464","1070744527458238464")</f>
        <v>1070744527458238464</v>
      </c>
      <c r="F2041" s="11" t="s">
        <v>6640</v>
      </c>
      <c r="G2041" s="12"/>
      <c r="H2041" s="12"/>
      <c r="I2041" s="13">
        <v>0</v>
      </c>
      <c r="J2041" s="13">
        <v>1</v>
      </c>
      <c r="K2041" s="14" t="str">
        <f>HYPERLINK("http://twitter.com/#!/download/ipad","Twitter for iPad")</f>
        <v>Twitter for iPad</v>
      </c>
      <c r="L2041" s="13">
        <v>671</v>
      </c>
      <c r="M2041" s="13">
        <v>430</v>
      </c>
      <c r="N2041" s="13">
        <v>71</v>
      </c>
      <c r="O2041" s="15"/>
      <c r="P2041" s="6">
        <v>41232.733587962961</v>
      </c>
      <c r="Q2041" s="12"/>
      <c r="R2041" s="17" t="s">
        <v>6897</v>
      </c>
      <c r="S2041" s="12"/>
      <c r="T2041" s="12"/>
      <c r="U2041" s="10" t="str">
        <f>HYPERLINK("https://pbs.twimg.com/profile_images/3450789440/103d278a79a8a0c2efbb1575933a37ed.jpeg","View")</f>
        <v>View</v>
      </c>
    </row>
    <row r="2042" spans="1:21" ht="30.6">
      <c r="A2042" s="6">
        <v>43440.804976851854</v>
      </c>
      <c r="B2042" s="7" t="str">
        <f>HYPERLINK("https://twitter.com/Humming_head","@Humming_head")</f>
        <v>@Humming_head</v>
      </c>
      <c r="C2042" s="8" t="s">
        <v>6510</v>
      </c>
      <c r="D2042" s="9" t="s">
        <v>6898</v>
      </c>
      <c r="E2042" s="10" t="str">
        <f>HYPERLINK("https://twitter.com/Humming_head/status/1070744471283920896","1070744471283920896")</f>
        <v>1070744471283920896</v>
      </c>
      <c r="F2042" s="12"/>
      <c r="G2042" s="12"/>
      <c r="H2042" s="12"/>
      <c r="I2042" s="13">
        <v>0</v>
      </c>
      <c r="J2042" s="13">
        <v>0</v>
      </c>
      <c r="K2042" s="14" t="str">
        <f>HYPERLINK("http://twitter.com/download/android","Twitter for Android")</f>
        <v>Twitter for Android</v>
      </c>
      <c r="L2042" s="13">
        <v>265</v>
      </c>
      <c r="M2042" s="13">
        <v>233</v>
      </c>
      <c r="N2042" s="13">
        <v>19</v>
      </c>
      <c r="O2042" s="15"/>
      <c r="P2042" s="6">
        <v>41040.7340162037</v>
      </c>
      <c r="Q2042" s="12"/>
      <c r="R2042" s="17" t="s">
        <v>6513</v>
      </c>
      <c r="S2042" s="11" t="s">
        <v>6514</v>
      </c>
      <c r="T2042" s="12"/>
      <c r="U2042" s="10" t="str">
        <f>HYPERLINK("https://pbs.twimg.com/profile_images/1058704234110173185/nWz6gZtW.jpg","View")</f>
        <v>View</v>
      </c>
    </row>
    <row r="2043" spans="1:21" ht="40.799999999999997">
      <c r="A2043" s="6">
        <v>43440.803993055553</v>
      </c>
      <c r="B2043" s="7" t="str">
        <f>HYPERLINK("https://twitter.com/imartinezcano","@imartinezcano")</f>
        <v>@imartinezcano</v>
      </c>
      <c r="C2043" s="8" t="s">
        <v>6899</v>
      </c>
      <c r="D2043" s="9" t="s">
        <v>6900</v>
      </c>
      <c r="E2043" s="10" t="str">
        <f>HYPERLINK("https://twitter.com/imartinezcano/status/1070744116999405568","1070744116999405568")</f>
        <v>1070744116999405568</v>
      </c>
      <c r="F2043" s="11" t="s">
        <v>6901</v>
      </c>
      <c r="G2043" s="12"/>
      <c r="H2043" s="12"/>
      <c r="I2043" s="13">
        <v>121</v>
      </c>
      <c r="J2043" s="13">
        <v>107</v>
      </c>
      <c r="K2043" s="14" t="str">
        <f>HYPERLINK("http://twitter.com/#!/download/ipad","Twitter for iPad")</f>
        <v>Twitter for iPad</v>
      </c>
      <c r="L2043" s="13">
        <v>2138</v>
      </c>
      <c r="M2043" s="13">
        <v>701</v>
      </c>
      <c r="N2043" s="13">
        <v>93</v>
      </c>
      <c r="O2043" s="15"/>
      <c r="P2043" s="6">
        <v>40849.7575</v>
      </c>
      <c r="Q2043" s="16" t="s">
        <v>1150</v>
      </c>
      <c r="R2043" s="17" t="s">
        <v>6902</v>
      </c>
      <c r="S2043" s="12"/>
      <c r="T2043" s="12"/>
      <c r="U2043" s="10" t="str">
        <f>HYPERLINK("https://pbs.twimg.com/profile_images/760889939013865472/jGzMMvLw.jpg","View")</f>
        <v>View</v>
      </c>
    </row>
    <row r="2044" spans="1:21" ht="40.799999999999997">
      <c r="A2044" s="6">
        <v>43440.803865740745</v>
      </c>
      <c r="B2044" s="7" t="str">
        <f>HYPERLINK("https://twitter.com/MJFSanSegundo","@MJFSanSegundo")</f>
        <v>@MJFSanSegundo</v>
      </c>
      <c r="C2044" s="8" t="s">
        <v>6264</v>
      </c>
      <c r="D2044" s="9" t="s">
        <v>6903</v>
      </c>
      <c r="E2044" s="10" t="str">
        <f>HYPERLINK("https://twitter.com/MJFSanSegundo/status/1070744071080214528","1070744071080214528")</f>
        <v>1070744071080214528</v>
      </c>
      <c r="F2044" s="11" t="s">
        <v>6904</v>
      </c>
      <c r="G2044" s="12"/>
      <c r="H2044" s="12"/>
      <c r="I2044" s="13">
        <v>0</v>
      </c>
      <c r="J2044" s="13">
        <v>0</v>
      </c>
      <c r="K2044" s="14" t="str">
        <f>HYPERLINK("http://twitter.com/download/iphone","Twitter for iPhone")</f>
        <v>Twitter for iPhone</v>
      </c>
      <c r="L2044" s="13">
        <v>7154</v>
      </c>
      <c r="M2044" s="13">
        <v>4965</v>
      </c>
      <c r="N2044" s="13">
        <v>149</v>
      </c>
      <c r="O2044" s="18" t="s">
        <v>41</v>
      </c>
      <c r="P2044" s="6">
        <v>40769.062465277777</v>
      </c>
      <c r="Q2044" s="16" t="s">
        <v>6266</v>
      </c>
      <c r="R2044" s="17" t="s">
        <v>6267</v>
      </c>
      <c r="S2044" s="11" t="s">
        <v>6268</v>
      </c>
      <c r="T2044" s="12"/>
      <c r="U2044" s="10" t="str">
        <f>HYPERLINK("https://pbs.twimg.com/profile_images/792943778193666048/h88KULRv.jpg","View")</f>
        <v>View</v>
      </c>
    </row>
    <row r="2045" spans="1:21" ht="30.6">
      <c r="A2045" s="6">
        <v>43440.803402777776</v>
      </c>
      <c r="B2045" s="7" t="str">
        <f>HYPERLINK("https://twitter.com/MeLlamoV","@MeLlamoV")</f>
        <v>@MeLlamoV</v>
      </c>
      <c r="C2045" s="8" t="s">
        <v>6905</v>
      </c>
      <c r="D2045" s="9" t="s">
        <v>6906</v>
      </c>
      <c r="E2045" s="10" t="str">
        <f>HYPERLINK("https://twitter.com/MeLlamoV/status/1070743902213287937","1070743902213287937")</f>
        <v>1070743902213287937</v>
      </c>
      <c r="F2045" s="11" t="s">
        <v>5099</v>
      </c>
      <c r="G2045" s="12"/>
      <c r="H2045" s="12"/>
      <c r="I2045" s="13">
        <v>0</v>
      </c>
      <c r="J2045" s="13">
        <v>0</v>
      </c>
      <c r="K2045" s="14" t="str">
        <f>HYPERLINK("http://twitter.com","Twitter Web Client")</f>
        <v>Twitter Web Client</v>
      </c>
      <c r="L2045" s="13">
        <v>449</v>
      </c>
      <c r="M2045" s="13">
        <v>359</v>
      </c>
      <c r="N2045" s="13">
        <v>11</v>
      </c>
      <c r="O2045" s="15"/>
      <c r="P2045" s="6">
        <v>42332.753530092596</v>
      </c>
      <c r="Q2045" s="12"/>
      <c r="R2045" s="17" t="s">
        <v>6907</v>
      </c>
      <c r="S2045" s="12"/>
      <c r="T2045" s="12"/>
      <c r="U2045" s="10" t="str">
        <f>HYPERLINK("https://pbs.twimg.com/profile_images/956991375253426177/crFWlyfI.jpg","View")</f>
        <v>View</v>
      </c>
    </row>
    <row r="2046" spans="1:21" ht="20.399999999999999">
      <c r="A2046" s="6">
        <v>43440.80196759259</v>
      </c>
      <c r="B2046" s="7" t="str">
        <f>HYPERLINK("https://twitter.com/sumariumcom","@sumariumcom")</f>
        <v>@sumariumcom</v>
      </c>
      <c r="C2046" s="8" t="s">
        <v>4525</v>
      </c>
      <c r="D2046" s="9" t="s">
        <v>4526</v>
      </c>
      <c r="E2046" s="10" t="str">
        <f>HYPERLINK("https://twitter.com/sumariumcom/status/1070743384422301696","1070743384422301696")</f>
        <v>1070743384422301696</v>
      </c>
      <c r="F2046" s="11" t="s">
        <v>4527</v>
      </c>
      <c r="G2046" s="11" t="s">
        <v>6908</v>
      </c>
      <c r="H2046" s="12"/>
      <c r="I2046" s="13">
        <v>0</v>
      </c>
      <c r="J2046" s="13">
        <v>0</v>
      </c>
      <c r="K2046" s="14" t="str">
        <f>HYPERLINK("https://about.twitter.com/products/tweetdeck","TweetDeck")</f>
        <v>TweetDeck</v>
      </c>
      <c r="L2046" s="13">
        <v>164401</v>
      </c>
      <c r="M2046" s="13">
        <v>996</v>
      </c>
      <c r="N2046" s="13">
        <v>1122</v>
      </c>
      <c r="O2046" s="15"/>
      <c r="P2046" s="6">
        <v>40977.809594907405</v>
      </c>
      <c r="Q2046" s="16" t="s">
        <v>4529</v>
      </c>
      <c r="R2046" s="19"/>
      <c r="S2046" s="11" t="s">
        <v>4530</v>
      </c>
      <c r="T2046" s="12"/>
      <c r="U2046" s="10" t="str">
        <f>HYPERLINK("https://pbs.twimg.com/profile_images/1061987847874469888/mok5IDTt.jpg","View")</f>
        <v>View</v>
      </c>
    </row>
    <row r="2047" spans="1:21" ht="40.799999999999997">
      <c r="A2047" s="6">
        <v>43440.801666666666</v>
      </c>
      <c r="B2047" s="7" t="str">
        <f>HYPERLINK("https://twitter.com/_aLFRe_","@_aLFRe_")</f>
        <v>@_aLFRe_</v>
      </c>
      <c r="C2047" s="8" t="s">
        <v>6909</v>
      </c>
      <c r="D2047" s="9" t="s">
        <v>6910</v>
      </c>
      <c r="E2047" s="10" t="str">
        <f>HYPERLINK("https://twitter.com/_aLFRe_/status/1070743274154061828","1070743274154061828")</f>
        <v>1070743274154061828</v>
      </c>
      <c r="F2047" s="11" t="s">
        <v>6912</v>
      </c>
      <c r="G2047" s="11" t="s">
        <v>6913</v>
      </c>
      <c r="H2047" s="12"/>
      <c r="I2047" s="13">
        <v>0</v>
      </c>
      <c r="J2047" s="13">
        <v>0</v>
      </c>
      <c r="K2047" s="14" t="str">
        <f t="shared" ref="K2047:K2048" si="366">HYPERLINK("http://twitter.com","Twitter Web Client")</f>
        <v>Twitter Web Client</v>
      </c>
      <c r="L2047" s="13">
        <v>97</v>
      </c>
      <c r="M2047" s="13">
        <v>73</v>
      </c>
      <c r="N2047" s="13">
        <v>61</v>
      </c>
      <c r="O2047" s="15"/>
      <c r="P2047" s="6">
        <v>39609.219328703708</v>
      </c>
      <c r="Q2047" s="16" t="s">
        <v>6914</v>
      </c>
      <c r="R2047" s="17" t="s">
        <v>6915</v>
      </c>
      <c r="S2047" s="11" t="s">
        <v>6916</v>
      </c>
      <c r="T2047" s="12"/>
      <c r="U2047" s="10" t="str">
        <f>HYPERLINK("https://pbs.twimg.com/profile_images/1031875338404544512/z9oBBcf5.jpg","View")</f>
        <v>View</v>
      </c>
    </row>
    <row r="2048" spans="1:21" ht="51">
      <c r="A2048" s="6">
        <v>43440.801585648151</v>
      </c>
      <c r="B2048" s="7" t="str">
        <f>HYPERLINK("https://twitter.com/JcBuzorra","@JcBuzorra")</f>
        <v>@JcBuzorra</v>
      </c>
      <c r="C2048" s="8" t="s">
        <v>6917</v>
      </c>
      <c r="D2048" s="9" t="s">
        <v>6918</v>
      </c>
      <c r="E2048" s="10" t="str">
        <f>HYPERLINK("https://twitter.com/JcBuzorra/status/1070743242453512193","1070743242453512193")</f>
        <v>1070743242453512193</v>
      </c>
      <c r="F2048" s="11" t="s">
        <v>4815</v>
      </c>
      <c r="G2048" s="12"/>
      <c r="H2048" s="12"/>
      <c r="I2048" s="13">
        <v>0</v>
      </c>
      <c r="J2048" s="13">
        <v>0</v>
      </c>
      <c r="K2048" s="14" t="str">
        <f t="shared" si="366"/>
        <v>Twitter Web Client</v>
      </c>
      <c r="L2048" s="13">
        <v>272</v>
      </c>
      <c r="M2048" s="13">
        <v>331</v>
      </c>
      <c r="N2048" s="13">
        <v>0</v>
      </c>
      <c r="O2048" s="15"/>
      <c r="P2048" s="6">
        <v>41228.629131944443</v>
      </c>
      <c r="Q2048" s="12"/>
      <c r="R2048" s="17" t="s">
        <v>6919</v>
      </c>
      <c r="S2048" s="12"/>
      <c r="T2048" s="12"/>
      <c r="U2048" s="10" t="str">
        <f>HYPERLINK("https://pbs.twimg.com/profile_images/453560683582341120/-31E5rgJ.jpeg","View")</f>
        <v>View</v>
      </c>
    </row>
    <row r="2049" spans="1:21" ht="20.399999999999999">
      <c r="A2049" s="6">
        <v>43440.801365740743</v>
      </c>
      <c r="B2049" s="7" t="str">
        <f>HYPERLINK("https://twitter.com/bit_media","@bit_media")</f>
        <v>@bit_media</v>
      </c>
      <c r="C2049" s="8" t="s">
        <v>6920</v>
      </c>
      <c r="D2049" s="9" t="s">
        <v>6921</v>
      </c>
      <c r="E2049" s="10" t="str">
        <f>HYPERLINK("https://twitter.com/bit_media/status/1070743163067949056","1070743163067949056")</f>
        <v>1070743163067949056</v>
      </c>
      <c r="F2049" s="11" t="s">
        <v>6922</v>
      </c>
      <c r="G2049" s="12"/>
      <c r="H2049" s="12"/>
      <c r="I2049" s="13">
        <v>0</v>
      </c>
      <c r="J2049" s="13">
        <v>0</v>
      </c>
      <c r="K2049" s="14" t="str">
        <f>HYPERLINK("http://www.noticiasbit.com","Noticias Bit")</f>
        <v>Noticias Bit</v>
      </c>
      <c r="L2049" s="13">
        <v>87</v>
      </c>
      <c r="M2049" s="13">
        <v>25</v>
      </c>
      <c r="N2049" s="13">
        <v>13</v>
      </c>
      <c r="O2049" s="15"/>
      <c r="P2049" s="6">
        <v>42087.166678240741</v>
      </c>
      <c r="Q2049" s="12"/>
      <c r="R2049" s="17" t="s">
        <v>6923</v>
      </c>
      <c r="S2049" s="12"/>
      <c r="T2049" s="12"/>
      <c r="U2049" s="10" t="str">
        <f>HYPERLINK("https://pbs.twimg.com/profile_images/580213204497899520/H1MpreLw.png","View")</f>
        <v>View</v>
      </c>
    </row>
    <row r="2050" spans="1:21" ht="51">
      <c r="A2050" s="6">
        <v>43440.801354166666</v>
      </c>
      <c r="B2050" s="7" t="str">
        <f>HYPERLINK("https://twitter.com/RamonMLGA","@RamonMLGA")</f>
        <v>@RamonMLGA</v>
      </c>
      <c r="C2050" s="8" t="s">
        <v>2197</v>
      </c>
      <c r="D2050" s="9" t="s">
        <v>6924</v>
      </c>
      <c r="E2050" s="10" t="str">
        <f>HYPERLINK("https://twitter.com/RamonMLGA/status/1070743161306316800","1070743161306316800")</f>
        <v>1070743161306316800</v>
      </c>
      <c r="F2050" s="11" t="s">
        <v>6925</v>
      </c>
      <c r="G2050" s="12"/>
      <c r="H2050" s="12"/>
      <c r="I2050" s="13">
        <v>5</v>
      </c>
      <c r="J2050" s="13">
        <v>9</v>
      </c>
      <c r="K2050" s="14" t="str">
        <f>HYPERLINK("http://twitter.com/download/iphone","Twitter for iPhone")</f>
        <v>Twitter for iPhone</v>
      </c>
      <c r="L2050" s="13">
        <v>9910</v>
      </c>
      <c r="M2050" s="13">
        <v>5026</v>
      </c>
      <c r="N2050" s="13">
        <v>82</v>
      </c>
      <c r="O2050" s="15"/>
      <c r="P2050" s="6">
        <v>41993.634409722217</v>
      </c>
      <c r="Q2050" s="16" t="s">
        <v>427</v>
      </c>
      <c r="R2050" s="17" t="s">
        <v>2199</v>
      </c>
      <c r="S2050" s="11" t="s">
        <v>2200</v>
      </c>
      <c r="T2050" s="12"/>
      <c r="U2050" s="10" t="str">
        <f>HYPERLINK("https://pbs.twimg.com/profile_images/1070766417832800258/RA922Mmi.jpg","View")</f>
        <v>View</v>
      </c>
    </row>
    <row r="2051" spans="1:21" ht="81.599999999999994">
      <c r="A2051" s="6">
        <v>43440.800324074073</v>
      </c>
      <c r="B2051" s="7" t="str">
        <f>HYPERLINK("https://twitter.com/libra14625394","@libra14625394")</f>
        <v>@libra14625394</v>
      </c>
      <c r="C2051" s="8" t="s">
        <v>6926</v>
      </c>
      <c r="D2051" s="9" t="s">
        <v>6927</v>
      </c>
      <c r="E2051" s="10" t="str">
        <f>HYPERLINK("https://twitter.com/libra14625394/status/1070742786029293570","1070742786029293570")</f>
        <v>1070742786029293570</v>
      </c>
      <c r="F2051" s="11" t="s">
        <v>54</v>
      </c>
      <c r="G2051" s="11" t="s">
        <v>55</v>
      </c>
      <c r="H2051" s="12"/>
      <c r="I2051" s="13">
        <v>0</v>
      </c>
      <c r="J2051" s="13">
        <v>0</v>
      </c>
      <c r="K2051" s="14" t="str">
        <f>HYPERLINK("http://twitter.com/download/android","Twitter for Android")</f>
        <v>Twitter for Android</v>
      </c>
      <c r="L2051" s="13">
        <v>136</v>
      </c>
      <c r="M2051" s="13">
        <v>233</v>
      </c>
      <c r="N2051" s="13">
        <v>2</v>
      </c>
      <c r="O2051" s="15"/>
      <c r="P2051" s="6">
        <v>41116.141365740739</v>
      </c>
      <c r="Q2051" s="12"/>
      <c r="R2051" s="17" t="s">
        <v>6928</v>
      </c>
      <c r="S2051" s="12"/>
      <c r="T2051" s="12"/>
      <c r="U2051" s="10" t="str">
        <f>HYPERLINK("https://pbs.twimg.com/profile_images/699283090020110337/WDtRAmEs.jpg","View")</f>
        <v>View</v>
      </c>
    </row>
    <row r="2052" spans="1:21" ht="112.2">
      <c r="A2052" s="6">
        <v>43440.79954861111</v>
      </c>
      <c r="B2052" s="7" t="str">
        <f>HYPERLINK("https://twitter.com/HistoriaEspanna","@HistoriaEspanna")</f>
        <v>@HistoriaEspanna</v>
      </c>
      <c r="C2052" s="8" t="s">
        <v>6929</v>
      </c>
      <c r="D2052" s="9" t="s">
        <v>6930</v>
      </c>
      <c r="E2052" s="10" t="str">
        <f>HYPERLINK("https://twitter.com/HistoriaEspanna/status/1070742506873204738","1070742506873204738")</f>
        <v>1070742506873204738</v>
      </c>
      <c r="F2052" s="11" t="s">
        <v>54</v>
      </c>
      <c r="G2052" s="11" t="s">
        <v>55</v>
      </c>
      <c r="H2052" s="12"/>
      <c r="I2052" s="13">
        <v>8</v>
      </c>
      <c r="J2052" s="13">
        <v>3</v>
      </c>
      <c r="K2052" s="14" t="str">
        <f>HYPERLINK("https://mobile.twitter.com","Twitter Lite")</f>
        <v>Twitter Lite</v>
      </c>
      <c r="L2052" s="13">
        <v>3494</v>
      </c>
      <c r="M2052" s="13">
        <v>420</v>
      </c>
      <c r="N2052" s="13">
        <v>44</v>
      </c>
      <c r="O2052" s="15"/>
      <c r="P2052" s="6">
        <v>42594.862662037034</v>
      </c>
      <c r="Q2052" s="16" t="s">
        <v>6931</v>
      </c>
      <c r="R2052" s="17" t="s">
        <v>6932</v>
      </c>
      <c r="S2052" s="12"/>
      <c r="T2052" s="12"/>
      <c r="U2052" s="10" t="str">
        <f>HYPERLINK("https://pbs.twimg.com/profile_images/764172367052566528/25Bbg8Rw.jpg","View")</f>
        <v>View</v>
      </c>
    </row>
    <row r="2053" spans="1:21" ht="40.799999999999997">
      <c r="A2053" s="6">
        <v>43440.79755787037</v>
      </c>
      <c r="B2053" s="7" t="str">
        <f>HYPERLINK("https://twitter.com/CarmenDeCarlos","@CarmenDeCarlos")</f>
        <v>@CarmenDeCarlos</v>
      </c>
      <c r="C2053" s="8" t="s">
        <v>6933</v>
      </c>
      <c r="D2053" s="9" t="s">
        <v>6934</v>
      </c>
      <c r="E2053" s="10" t="str">
        <f>HYPERLINK("https://twitter.com/CarmenDeCarlos/status/1070741785796845568","1070741785796845568")</f>
        <v>1070741785796845568</v>
      </c>
      <c r="F2053" s="11" t="s">
        <v>6935</v>
      </c>
      <c r="G2053" s="12"/>
      <c r="H2053" s="12"/>
      <c r="I2053" s="13">
        <v>1</v>
      </c>
      <c r="J2053" s="13">
        <v>0</v>
      </c>
      <c r="K2053" s="14" t="str">
        <f t="shared" ref="K2053:K2054" si="367">HYPERLINK("http://twitter.com","Twitter Web Client")</f>
        <v>Twitter Web Client</v>
      </c>
      <c r="L2053" s="13">
        <v>3263</v>
      </c>
      <c r="M2053" s="13">
        <v>1744</v>
      </c>
      <c r="N2053" s="13">
        <v>116</v>
      </c>
      <c r="O2053" s="15"/>
      <c r="P2053" s="6">
        <v>40123.024247685185</v>
      </c>
      <c r="Q2053" s="16" t="s">
        <v>353</v>
      </c>
      <c r="R2053" s="17" t="s">
        <v>6936</v>
      </c>
      <c r="S2053" s="11" t="s">
        <v>6937</v>
      </c>
      <c r="T2053" s="12"/>
      <c r="U2053" s="10" t="str">
        <f>HYPERLINK("https://pbs.twimg.com/profile_images/798687579449262080/HahWhU4h.jpg","View")</f>
        <v>View</v>
      </c>
    </row>
    <row r="2054" spans="1:21" ht="40.799999999999997">
      <c r="A2054" s="6">
        <v>43440.796840277777</v>
      </c>
      <c r="B2054" s="7" t="str">
        <f>HYPERLINK("https://twitter.com/777odesa","@777odesa")</f>
        <v>@777odesa</v>
      </c>
      <c r="C2054" s="8" t="s">
        <v>6938</v>
      </c>
      <c r="D2054" s="9" t="s">
        <v>6939</v>
      </c>
      <c r="E2054" s="10" t="str">
        <f>HYPERLINK("https://twitter.com/777odesa/status/1070741525515169792","1070741525515169792")</f>
        <v>1070741525515169792</v>
      </c>
      <c r="F2054" s="12"/>
      <c r="G2054" s="12"/>
      <c r="H2054" s="12"/>
      <c r="I2054" s="13">
        <v>0</v>
      </c>
      <c r="J2054" s="13">
        <v>0</v>
      </c>
      <c r="K2054" s="14" t="str">
        <f t="shared" si="367"/>
        <v>Twitter Web Client</v>
      </c>
      <c r="L2054" s="13">
        <v>8</v>
      </c>
      <c r="M2054" s="13">
        <v>13</v>
      </c>
      <c r="N2054" s="13">
        <v>0</v>
      </c>
      <c r="O2054" s="15"/>
      <c r="P2054" s="6">
        <v>40455.992280092592</v>
      </c>
      <c r="Q2054" s="16" t="s">
        <v>3514</v>
      </c>
      <c r="R2054" s="17" t="s">
        <v>6940</v>
      </c>
      <c r="S2054" s="12"/>
      <c r="T2054" s="12"/>
      <c r="U2054" s="10" t="str">
        <f>HYPERLINK("https://pbs.twimg.com/profile_images/918457994744160258/XlY4A40T.jpg","View")</f>
        <v>View</v>
      </c>
    </row>
    <row r="2055" spans="1:21" ht="61.2">
      <c r="A2055" s="6">
        <v>43440.79650462963</v>
      </c>
      <c r="B2055" s="7" t="str">
        <f>HYPERLINK("https://twitter.com/anjais2015","@anjais2015")</f>
        <v>@anjais2015</v>
      </c>
      <c r="C2055" s="8" t="s">
        <v>6941</v>
      </c>
      <c r="D2055" s="9" t="s">
        <v>6942</v>
      </c>
      <c r="E2055" s="10" t="str">
        <f>HYPERLINK("https://twitter.com/anjais2015/status/1070741404085837824","1070741404085837824")</f>
        <v>1070741404085837824</v>
      </c>
      <c r="F2055" s="16" t="s">
        <v>6943</v>
      </c>
      <c r="G2055" s="11" t="s">
        <v>6944</v>
      </c>
      <c r="H2055" s="12"/>
      <c r="I2055" s="13">
        <v>0</v>
      </c>
      <c r="J2055" s="13">
        <v>0</v>
      </c>
      <c r="K2055" s="14" t="str">
        <f>HYPERLINK("http://twitter.com/download/android","Twitter for Android")</f>
        <v>Twitter for Android</v>
      </c>
      <c r="L2055" s="13">
        <v>265</v>
      </c>
      <c r="M2055" s="13">
        <v>337</v>
      </c>
      <c r="N2055" s="13">
        <v>10</v>
      </c>
      <c r="O2055" s="15"/>
      <c r="P2055" s="6">
        <v>42103.372789351852</v>
      </c>
      <c r="Q2055" s="12"/>
      <c r="R2055" s="19"/>
      <c r="S2055" s="12"/>
      <c r="T2055" s="12"/>
      <c r="U2055" s="10" t="str">
        <f>HYPERLINK("https://pbs.twimg.com/profile_images/586063685254258688/o9tzjJj2.jpg","View")</f>
        <v>View</v>
      </c>
    </row>
    <row r="2056" spans="1:21" ht="51">
      <c r="A2056" s="6">
        <v>43440.795914351853</v>
      </c>
      <c r="B2056" s="7" t="str">
        <f>HYPERLINK("https://twitter.com/pvmatud","@pvmatud")</f>
        <v>@pvmatud</v>
      </c>
      <c r="C2056" s="8" t="s">
        <v>6945</v>
      </c>
      <c r="D2056" s="9" t="s">
        <v>6946</v>
      </c>
      <c r="E2056" s="10" t="str">
        <f>HYPERLINK("https://twitter.com/pvmatud/status/1070741187609419782","1070741187609419782")</f>
        <v>1070741187609419782</v>
      </c>
      <c r="F2056" s="16" t="s">
        <v>6947</v>
      </c>
      <c r="G2056" s="12"/>
      <c r="H2056" s="12"/>
      <c r="I2056" s="13">
        <v>0</v>
      </c>
      <c r="J2056" s="13">
        <v>0</v>
      </c>
      <c r="K2056" s="14" t="str">
        <f t="shared" ref="K2056:K2057" si="368">HYPERLINK("http://twitter.com/#!/download/ipad","Twitter for iPad")</f>
        <v>Twitter for iPad</v>
      </c>
      <c r="L2056" s="13">
        <v>398</v>
      </c>
      <c r="M2056" s="13">
        <v>640</v>
      </c>
      <c r="N2056" s="13">
        <v>7</v>
      </c>
      <c r="O2056" s="15"/>
      <c r="P2056" s="6">
        <v>40819.578680555554</v>
      </c>
      <c r="Q2056" s="16" t="s">
        <v>5968</v>
      </c>
      <c r="R2056" s="17" t="s">
        <v>6948</v>
      </c>
      <c r="S2056" s="12"/>
      <c r="T2056" s="12"/>
      <c r="U2056" s="10" t="str">
        <f>HYPERLINK("https://pbs.twimg.com/profile_images/1060110169332428803/UqFyZVf1.jpg","View")</f>
        <v>View</v>
      </c>
    </row>
    <row r="2057" spans="1:21" ht="40.799999999999997">
      <c r="A2057" s="6">
        <v>43440.795694444445</v>
      </c>
      <c r="B2057" s="7" t="str">
        <f>HYPERLINK("https://twitter.com/pgpnzalo1","@pgpnzalo1")</f>
        <v>@pgpnzalo1</v>
      </c>
      <c r="C2057" s="8" t="s">
        <v>515</v>
      </c>
      <c r="D2057" s="9" t="s">
        <v>6949</v>
      </c>
      <c r="E2057" s="10" t="str">
        <f>HYPERLINK("https://twitter.com/pgpnzalo1/status/1070741110908170242","1070741110908170242")</f>
        <v>1070741110908170242</v>
      </c>
      <c r="F2057" s="12"/>
      <c r="G2057" s="11" t="s">
        <v>6950</v>
      </c>
      <c r="H2057" s="12"/>
      <c r="I2057" s="13">
        <v>51</v>
      </c>
      <c r="J2057" s="13">
        <v>52</v>
      </c>
      <c r="K2057" s="14" t="str">
        <f t="shared" si="368"/>
        <v>Twitter for iPad</v>
      </c>
      <c r="L2057" s="13">
        <v>2634</v>
      </c>
      <c r="M2057" s="13">
        <v>1691</v>
      </c>
      <c r="N2057" s="13">
        <v>14</v>
      </c>
      <c r="O2057" s="15"/>
      <c r="P2057" s="6">
        <v>42452.777962962966</v>
      </c>
      <c r="Q2057" s="16" t="s">
        <v>517</v>
      </c>
      <c r="R2057" s="17" t="s">
        <v>518</v>
      </c>
      <c r="S2057" s="12"/>
      <c r="T2057" s="12"/>
      <c r="U2057" s="10" t="str">
        <f>HYPERLINK("https://pbs.twimg.com/profile_images/993298134901186561/A4h76s3b.jpg","View")</f>
        <v>View</v>
      </c>
    </row>
    <row r="2058" spans="1:21" ht="20.399999999999999">
      <c r="A2058" s="6">
        <v>43440.795613425929</v>
      </c>
      <c r="B2058" s="7" t="str">
        <f>HYPERLINK("https://twitter.com/EspanaActual","@EspanaActual")</f>
        <v>@EspanaActual</v>
      </c>
      <c r="C2058" s="8" t="s">
        <v>399</v>
      </c>
      <c r="D2058" s="9" t="s">
        <v>6951</v>
      </c>
      <c r="E2058" s="10" t="str">
        <f>HYPERLINK("https://twitter.com/EspanaActual/status/1070741079220215809","1070741079220215809")</f>
        <v>1070741079220215809</v>
      </c>
      <c r="F2058" s="11" t="s">
        <v>6640</v>
      </c>
      <c r="G2058" s="12"/>
      <c r="H2058" s="12"/>
      <c r="I2058" s="13">
        <v>0</v>
      </c>
      <c r="J2058" s="13">
        <v>0</v>
      </c>
      <c r="K2058" s="14" t="str">
        <f>HYPERLINK("http://www.wonderland.fm/","wonderland.fm")</f>
        <v>wonderland.fm</v>
      </c>
      <c r="L2058" s="13">
        <v>255</v>
      </c>
      <c r="M2058" s="13">
        <v>0</v>
      </c>
      <c r="N2058" s="13">
        <v>5</v>
      </c>
      <c r="O2058" s="15"/>
      <c r="P2058" s="6">
        <v>41357.845486111109</v>
      </c>
      <c r="Q2058" s="16" t="s">
        <v>60</v>
      </c>
      <c r="R2058" s="17" t="s">
        <v>402</v>
      </c>
      <c r="S2058" s="12"/>
      <c r="T2058" s="12"/>
      <c r="U2058" s="10" t="str">
        <f>HYPERLINK("https://pbs.twimg.com/profile_images/745695516982378496/lAlJBkNT.jpg","View")</f>
        <v>View</v>
      </c>
    </row>
    <row r="2059" spans="1:21" ht="30.6">
      <c r="A2059" s="6">
        <v>43440.795254629629</v>
      </c>
      <c r="B2059" s="7" t="str">
        <f>HYPERLINK("https://twitter.com/verontxx","@verontxx")</f>
        <v>@verontxx</v>
      </c>
      <c r="C2059" s="8" t="s">
        <v>6952</v>
      </c>
      <c r="D2059" s="9" t="s">
        <v>6953</v>
      </c>
      <c r="E2059" s="10" t="str">
        <f>HYPERLINK("https://twitter.com/verontxx/status/1070740951507849216","1070740951507849216")</f>
        <v>1070740951507849216</v>
      </c>
      <c r="F2059" s="11" t="s">
        <v>6954</v>
      </c>
      <c r="G2059" s="11" t="s">
        <v>3895</v>
      </c>
      <c r="H2059" s="12"/>
      <c r="I2059" s="13">
        <v>1</v>
      </c>
      <c r="J2059" s="13">
        <v>2</v>
      </c>
      <c r="K2059" s="14" t="str">
        <f>HYPERLINK("http://twitter.com/download/iphone","Twitter for iPhone")</f>
        <v>Twitter for iPhone</v>
      </c>
      <c r="L2059" s="13">
        <v>476</v>
      </c>
      <c r="M2059" s="13">
        <v>186</v>
      </c>
      <c r="N2059" s="13">
        <v>10</v>
      </c>
      <c r="O2059" s="15"/>
      <c r="P2059" s="6">
        <v>41598.960648148146</v>
      </c>
      <c r="Q2059" s="16" t="s">
        <v>228</v>
      </c>
      <c r="R2059" s="17" t="s">
        <v>6955</v>
      </c>
      <c r="S2059" s="11" t="s">
        <v>6956</v>
      </c>
      <c r="T2059" s="12"/>
      <c r="U2059" s="10" t="str">
        <f>HYPERLINK("https://pbs.twimg.com/profile_images/1053300048702984192/OqPJ-0Wl.jpg","View")</f>
        <v>View</v>
      </c>
    </row>
    <row r="2060" spans="1:21" ht="20.399999999999999">
      <c r="A2060" s="6">
        <v>43440.79524305556</v>
      </c>
      <c r="B2060" s="7" t="str">
        <f>HYPERLINK("https://twitter.com/PaisesNoticias","@PaisesNoticias")</f>
        <v>@PaisesNoticias</v>
      </c>
      <c r="C2060" s="8" t="s">
        <v>6957</v>
      </c>
      <c r="D2060" s="9" t="s">
        <v>6958</v>
      </c>
      <c r="E2060" s="10" t="str">
        <f>HYPERLINK("https://twitter.com/PaisesNoticias/status/1070740944029388801","1070740944029388801")</f>
        <v>1070740944029388801</v>
      </c>
      <c r="F2060" s="11" t="s">
        <v>6959</v>
      </c>
      <c r="G2060" s="12"/>
      <c r="H2060" s="12"/>
      <c r="I2060" s="13">
        <v>0</v>
      </c>
      <c r="J2060" s="13">
        <v>0</v>
      </c>
      <c r="K2060" s="14" t="str">
        <f>HYPERLINK("http://www.wonderland.fm/","wonderland.fm")</f>
        <v>wonderland.fm</v>
      </c>
      <c r="L2060" s="13">
        <v>957</v>
      </c>
      <c r="M2060" s="13">
        <v>800</v>
      </c>
      <c r="N2060" s="13">
        <v>23</v>
      </c>
      <c r="O2060" s="15"/>
      <c r="P2060" s="6">
        <v>41249.819363425922</v>
      </c>
      <c r="Q2060" s="12"/>
      <c r="R2060" s="17" t="s">
        <v>6960</v>
      </c>
      <c r="S2060" s="12"/>
      <c r="T2060" s="12"/>
      <c r="U2060" s="10" t="str">
        <f>HYPERLINK("https://pbs.twimg.com/profile_images/2940468560/d22750d39380af2aa739bec66c7a9f30.png","View")</f>
        <v>View</v>
      </c>
    </row>
    <row r="2061" spans="1:21" ht="51">
      <c r="A2061" s="6">
        <v>43440.794652777782</v>
      </c>
      <c r="B2061" s="7" t="str">
        <f>HYPERLINK("https://twitter.com/carrasquete","@carrasquete")</f>
        <v>@carrasquete</v>
      </c>
      <c r="C2061" s="8" t="s">
        <v>6961</v>
      </c>
      <c r="D2061" s="9" t="s">
        <v>6962</v>
      </c>
      <c r="E2061" s="10" t="str">
        <f>HYPERLINK("https://twitter.com/carrasquete/status/1070740733504704513","1070740733504704513")</f>
        <v>1070740733504704513</v>
      </c>
      <c r="F2061" s="11" t="s">
        <v>6963</v>
      </c>
      <c r="G2061" s="11" t="s">
        <v>6964</v>
      </c>
      <c r="H2061" s="12"/>
      <c r="I2061" s="13">
        <v>0</v>
      </c>
      <c r="J2061" s="13">
        <v>0</v>
      </c>
      <c r="K2061" s="14" t="str">
        <f t="shared" ref="K2061:K2062" si="369">HYPERLINK("http://twitter.com","Twitter Web Client")</f>
        <v>Twitter Web Client</v>
      </c>
      <c r="L2061" s="13">
        <v>909</v>
      </c>
      <c r="M2061" s="13">
        <v>3580</v>
      </c>
      <c r="N2061" s="13">
        <v>14</v>
      </c>
      <c r="O2061" s="15"/>
      <c r="P2061" s="6">
        <v>40582.767858796295</v>
      </c>
      <c r="Q2061" s="12"/>
      <c r="R2061" s="17" t="s">
        <v>6965</v>
      </c>
      <c r="S2061" s="12"/>
      <c r="T2061" s="12"/>
      <c r="U2061" s="10" t="str">
        <f>HYPERLINK("https://pbs.twimg.com/profile_images/378800000613297749/43b09da18a5961595a0de520fb3d5e8b.jpeg","View")</f>
        <v>View</v>
      </c>
    </row>
    <row r="2062" spans="1:21" ht="30.6">
      <c r="A2062" s="6">
        <v>43440.793888888889</v>
      </c>
      <c r="B2062" s="7" t="str">
        <f>HYPERLINK("https://twitter.com/MateoLu79941552","@MateoLu79941552")</f>
        <v>@MateoLu79941552</v>
      </c>
      <c r="C2062" s="8" t="s">
        <v>6966</v>
      </c>
      <c r="D2062" s="9" t="s">
        <v>6967</v>
      </c>
      <c r="E2062" s="10" t="str">
        <f>HYPERLINK("https://twitter.com/MateoLu79941552/status/1070740453769789440","1070740453769789440")</f>
        <v>1070740453769789440</v>
      </c>
      <c r="F2062" s="11" t="s">
        <v>4815</v>
      </c>
      <c r="G2062" s="12"/>
      <c r="H2062" s="12"/>
      <c r="I2062" s="13">
        <v>0</v>
      </c>
      <c r="J2062" s="13">
        <v>0</v>
      </c>
      <c r="K2062" s="14" t="str">
        <f t="shared" si="369"/>
        <v>Twitter Web Client</v>
      </c>
      <c r="L2062" s="13">
        <v>75</v>
      </c>
      <c r="M2062" s="13">
        <v>103</v>
      </c>
      <c r="N2062" s="13">
        <v>0</v>
      </c>
      <c r="O2062" s="15"/>
      <c r="P2062" s="6">
        <v>42714.965613425928</v>
      </c>
      <c r="Q2062" s="12"/>
      <c r="R2062" s="19"/>
      <c r="S2062" s="12"/>
      <c r="T2062" s="12"/>
      <c r="U2062" s="10" t="str">
        <f>HYPERLINK("https://pbs.twimg.com/profile_images/1035606686818619392/nOeTEZOU.jpg","View")</f>
        <v>View</v>
      </c>
    </row>
    <row r="2063" spans="1:21" ht="40.799999999999997">
      <c r="A2063" s="6">
        <v>43440.793310185181</v>
      </c>
      <c r="B2063" s="7" t="str">
        <f>HYPERLINK("https://twitter.com/Delapuentejor","@Delapuentejor")</f>
        <v>@Delapuentejor</v>
      </c>
      <c r="C2063" s="8" t="s">
        <v>6969</v>
      </c>
      <c r="D2063" s="9" t="s">
        <v>6970</v>
      </c>
      <c r="E2063" s="10" t="str">
        <f>HYPERLINK("https://twitter.com/Delapuentejor/status/1070740244658642945","1070740244658642945")</f>
        <v>1070740244658642945</v>
      </c>
      <c r="F2063" s="11" t="s">
        <v>6971</v>
      </c>
      <c r="G2063" s="12"/>
      <c r="H2063" s="12"/>
      <c r="I2063" s="13">
        <v>0</v>
      </c>
      <c r="J2063" s="13">
        <v>0</v>
      </c>
      <c r="K2063" s="14" t="str">
        <f>HYPERLINK("http://twitter.com/download/iphone","Twitter for iPhone")</f>
        <v>Twitter for iPhone</v>
      </c>
      <c r="L2063" s="13">
        <v>1321</v>
      </c>
      <c r="M2063" s="13">
        <v>5000</v>
      </c>
      <c r="N2063" s="13">
        <v>121</v>
      </c>
      <c r="O2063" s="15"/>
      <c r="P2063" s="6">
        <v>41057.972673611112</v>
      </c>
      <c r="Q2063" s="16" t="s">
        <v>6972</v>
      </c>
      <c r="R2063" s="17" t="s">
        <v>6973</v>
      </c>
      <c r="S2063" s="12"/>
      <c r="T2063" s="12"/>
      <c r="U2063" s="10" t="str">
        <f>HYPERLINK("https://pbs.twimg.com/profile_images/951063750714503169/YOZ9R3mU.jpg","View")</f>
        <v>View</v>
      </c>
    </row>
    <row r="2064" spans="1:21" ht="30.6">
      <c r="A2064" s="6">
        <v>43440.793263888889</v>
      </c>
      <c r="B2064" s="7" t="str">
        <f>HYPERLINK("https://twitter.com/Charran_Esp","@Charran_Esp")</f>
        <v>@Charran_Esp</v>
      </c>
      <c r="C2064" s="8" t="s">
        <v>5442</v>
      </c>
      <c r="D2064" s="9" t="s">
        <v>6974</v>
      </c>
      <c r="E2064" s="10" t="str">
        <f>HYPERLINK("https://twitter.com/Charran_Esp/status/1070740226383974400","1070740226383974400")</f>
        <v>1070740226383974400</v>
      </c>
      <c r="F2064" s="11" t="s">
        <v>467</v>
      </c>
      <c r="G2064" s="12"/>
      <c r="H2064" s="12"/>
      <c r="I2064" s="13">
        <v>0</v>
      </c>
      <c r="J2064" s="13">
        <v>0</v>
      </c>
      <c r="K2064" s="14" t="str">
        <f>HYPERLINK("https://ifttt.com","IFTTT")</f>
        <v>IFTTT</v>
      </c>
      <c r="L2064" s="13">
        <v>62</v>
      </c>
      <c r="M2064" s="13">
        <v>71</v>
      </c>
      <c r="N2064" s="13">
        <v>0</v>
      </c>
      <c r="O2064" s="15"/>
      <c r="P2064" s="6">
        <v>42915.451712962968</v>
      </c>
      <c r="Q2064" s="16" t="s">
        <v>60</v>
      </c>
      <c r="R2064" s="17" t="s">
        <v>5444</v>
      </c>
      <c r="S2064" s="12"/>
      <c r="T2064" s="12"/>
      <c r="U2064" s="10" t="str">
        <f>HYPERLINK("https://pbs.twimg.com/profile_images/880349188244078592/vsdcBU4x.jpg","View")</f>
        <v>View</v>
      </c>
    </row>
    <row r="2065" spans="1:21" ht="20.399999999999999">
      <c r="A2065" s="6">
        <v>43440.792916666665</v>
      </c>
      <c r="B2065" s="7" t="str">
        <f>HYPERLINK("https://twitter.com/zoteiro","@zoteiro")</f>
        <v>@zoteiro</v>
      </c>
      <c r="C2065" s="8" t="s">
        <v>6975</v>
      </c>
      <c r="D2065" s="9" t="s">
        <v>6976</v>
      </c>
      <c r="E2065" s="10" t="str">
        <f>HYPERLINK("https://twitter.com/zoteiro/status/1070740101012049920","1070740101012049920")</f>
        <v>1070740101012049920</v>
      </c>
      <c r="F2065" s="12"/>
      <c r="G2065" s="11" t="s">
        <v>6977</v>
      </c>
      <c r="H2065" s="12"/>
      <c r="I2065" s="13">
        <v>2</v>
      </c>
      <c r="J2065" s="13">
        <v>3</v>
      </c>
      <c r="K2065" s="14" t="str">
        <f t="shared" ref="K2065:K2067" si="370">HYPERLINK("http://twitter.com","Twitter Web Client")</f>
        <v>Twitter Web Client</v>
      </c>
      <c r="L2065" s="13">
        <v>681</v>
      </c>
      <c r="M2065" s="13">
        <v>701</v>
      </c>
      <c r="N2065" s="13">
        <v>0</v>
      </c>
      <c r="O2065" s="15"/>
      <c r="P2065" s="6">
        <v>42908.642314814817</v>
      </c>
      <c r="Q2065" s="12"/>
      <c r="R2065" s="19"/>
      <c r="S2065" s="12"/>
      <c r="T2065" s="12"/>
      <c r="U2065" s="10" t="str">
        <f>HYPERLINK("https://pbs.twimg.com/profile_images/1011270132306497537/fLkXfy33.jpg","View")</f>
        <v>View</v>
      </c>
    </row>
    <row r="2066" spans="1:21" ht="40.799999999999997">
      <c r="A2066" s="6">
        <v>43440.792592592596</v>
      </c>
      <c r="B2066" s="7" t="str">
        <f>HYPERLINK("https://twitter.com/ESdiario_com","@ESdiario_com")</f>
        <v>@ESdiario_com</v>
      </c>
      <c r="C2066" s="8" t="s">
        <v>5449</v>
      </c>
      <c r="D2066" s="9" t="s">
        <v>1324</v>
      </c>
      <c r="E2066" s="10" t="str">
        <f>HYPERLINK("https://twitter.com/ESdiario_com/status/1070739986931167232","1070739986931167232")</f>
        <v>1070739986931167232</v>
      </c>
      <c r="F2066" s="11" t="s">
        <v>467</v>
      </c>
      <c r="G2066" s="12"/>
      <c r="H2066" s="12"/>
      <c r="I2066" s="13">
        <v>21</v>
      </c>
      <c r="J2066" s="13">
        <v>23</v>
      </c>
      <c r="K2066" s="14" t="str">
        <f t="shared" si="370"/>
        <v>Twitter Web Client</v>
      </c>
      <c r="L2066" s="13">
        <v>30936</v>
      </c>
      <c r="M2066" s="13">
        <v>707</v>
      </c>
      <c r="N2066" s="13">
        <v>497</v>
      </c>
      <c r="O2066" s="15"/>
      <c r="P2066" s="6">
        <v>40584.500949074078</v>
      </c>
      <c r="Q2066" s="16" t="s">
        <v>133</v>
      </c>
      <c r="R2066" s="17" t="s">
        <v>5452</v>
      </c>
      <c r="S2066" s="11" t="s">
        <v>5453</v>
      </c>
      <c r="T2066" s="12"/>
      <c r="U2066" s="10" t="str">
        <f>HYPERLINK("https://pbs.twimg.com/profile_images/708363281308753920/7qh3akOb.jpg","View")</f>
        <v>View</v>
      </c>
    </row>
    <row r="2067" spans="1:21" ht="40.799999999999997">
      <c r="A2067" s="6">
        <v>43440.792581018519</v>
      </c>
      <c r="B2067" s="7" t="str">
        <f>HYPERLINK("https://twitter.com/eljoioporculo","@eljoioporculo")</f>
        <v>@eljoioporculo</v>
      </c>
      <c r="C2067" s="8" t="s">
        <v>6982</v>
      </c>
      <c r="D2067" s="9" t="s">
        <v>6983</v>
      </c>
      <c r="E2067" s="10" t="str">
        <f>HYPERLINK("https://twitter.com/eljoioporculo/status/1070739981331783681","1070739981331783681")</f>
        <v>1070739981331783681</v>
      </c>
      <c r="F2067" s="12"/>
      <c r="G2067" s="11" t="s">
        <v>6984</v>
      </c>
      <c r="H2067" s="12"/>
      <c r="I2067" s="13">
        <v>0</v>
      </c>
      <c r="J2067" s="13">
        <v>1</v>
      </c>
      <c r="K2067" s="14" t="str">
        <f t="shared" si="370"/>
        <v>Twitter Web Client</v>
      </c>
      <c r="L2067" s="13">
        <v>7</v>
      </c>
      <c r="M2067" s="13">
        <v>30</v>
      </c>
      <c r="N2067" s="13">
        <v>0</v>
      </c>
      <c r="O2067" s="15"/>
      <c r="P2067" s="6">
        <v>43340.596550925926</v>
      </c>
      <c r="Q2067" s="12"/>
      <c r="R2067" s="17" t="s">
        <v>6985</v>
      </c>
      <c r="S2067" s="12"/>
      <c r="T2067" s="12"/>
      <c r="U2067" s="10" t="str">
        <f>HYPERLINK("https://pbs.twimg.com/profile_images/1034415661274083329/zyZCfldz.jpg","View")</f>
        <v>View</v>
      </c>
    </row>
    <row r="2068" spans="1:21" ht="40.799999999999997">
      <c r="A2068" s="6">
        <v>43440.792499999996</v>
      </c>
      <c r="B2068" s="7" t="str">
        <f>HYPERLINK("https://twitter.com/universalsevil1","@universalsevil1")</f>
        <v>@universalsevil1</v>
      </c>
      <c r="C2068" s="8" t="s">
        <v>1078</v>
      </c>
      <c r="D2068" s="9" t="s">
        <v>6986</v>
      </c>
      <c r="E2068" s="10" t="str">
        <f>HYPERLINK("https://twitter.com/universalsevil1/status/1070739950956630017","1070739950956630017")</f>
        <v>1070739950956630017</v>
      </c>
      <c r="F2068" s="16" t="s">
        <v>6987</v>
      </c>
      <c r="G2068" s="12"/>
      <c r="H2068" s="12"/>
      <c r="I2068" s="13">
        <v>2</v>
      </c>
      <c r="J2068" s="13">
        <v>0</v>
      </c>
      <c r="K2068" s="14" t="str">
        <f>HYPERLINK("http://twitter.com/download/android","Twitter for Android")</f>
        <v>Twitter for Android</v>
      </c>
      <c r="L2068" s="13">
        <v>412</v>
      </c>
      <c r="M2068" s="13">
        <v>694</v>
      </c>
      <c r="N2068" s="13">
        <v>7</v>
      </c>
      <c r="O2068" s="15"/>
      <c r="P2068" s="6">
        <v>42373.857349537036</v>
      </c>
      <c r="Q2068" s="12"/>
      <c r="R2068" s="19"/>
      <c r="S2068" s="12"/>
      <c r="T2068" s="12"/>
      <c r="U2068" s="10" t="str">
        <f>HYPERLINK("https://pbs.twimg.com/profile_images/990336265085177857/jUe7wYwz.jpg","View")</f>
        <v>View</v>
      </c>
    </row>
    <row r="2069" spans="1:21" ht="40.799999999999997">
      <c r="A2069" s="6">
        <v>43440.792442129634</v>
      </c>
      <c r="B2069" s="7" t="str">
        <f>HYPERLINK("https://twitter.com/nortecastilla","@nortecastilla")</f>
        <v>@nortecastilla</v>
      </c>
      <c r="C2069" s="20" t="s">
        <v>6988</v>
      </c>
      <c r="D2069" s="9" t="s">
        <v>6989</v>
      </c>
      <c r="E2069" s="10" t="str">
        <f>HYPERLINK("https://twitter.com/nortecastilla/status/1070739932304556032","1070739932304556032")</f>
        <v>1070739932304556032</v>
      </c>
      <c r="F2069" s="11" t="s">
        <v>6990</v>
      </c>
      <c r="G2069" s="12"/>
      <c r="H2069" s="12"/>
      <c r="I2069" s="13">
        <v>1</v>
      </c>
      <c r="J2069" s="13">
        <v>6</v>
      </c>
      <c r="K2069" s="14" t="str">
        <f>HYPERLINK("https://www.hootsuite.com","Hootsuite Inc.")</f>
        <v>Hootsuite Inc.</v>
      </c>
      <c r="L2069" s="13">
        <v>129448</v>
      </c>
      <c r="M2069" s="13">
        <v>137</v>
      </c>
      <c r="N2069" s="13">
        <v>1361</v>
      </c>
      <c r="O2069" s="18" t="s">
        <v>41</v>
      </c>
      <c r="P2069" s="6">
        <v>39972.553414351853</v>
      </c>
      <c r="Q2069" s="16" t="s">
        <v>60</v>
      </c>
      <c r="R2069" s="17" t="s">
        <v>6993</v>
      </c>
      <c r="S2069" s="11" t="s">
        <v>6994</v>
      </c>
      <c r="T2069" s="12"/>
      <c r="U2069" s="10" t="str">
        <f>HYPERLINK("https://pbs.twimg.com/profile_images/875648311646011395/P7n6xnhT.jpg","View")</f>
        <v>View</v>
      </c>
    </row>
    <row r="2070" spans="1:21" ht="61.2">
      <c r="A2070" s="6">
        <v>43440.792280092588</v>
      </c>
      <c r="B2070" s="7" t="str">
        <f>HYPERLINK("https://twitter.com/ArgasRievaj","@ArgasRievaj")</f>
        <v>@ArgasRievaj</v>
      </c>
      <c r="C2070" s="8" t="s">
        <v>6995</v>
      </c>
      <c r="D2070" s="9" t="s">
        <v>6996</v>
      </c>
      <c r="E2070" s="10" t="str">
        <f>HYPERLINK("https://twitter.com/ArgasRievaj/status/1070739872367947776","1070739872367947776")</f>
        <v>1070739872367947776</v>
      </c>
      <c r="F2070" s="11" t="s">
        <v>6999</v>
      </c>
      <c r="G2070" s="12"/>
      <c r="H2070" s="12"/>
      <c r="I2070" s="13">
        <v>0</v>
      </c>
      <c r="J2070" s="13">
        <v>0</v>
      </c>
      <c r="K2070" s="14" t="str">
        <f t="shared" ref="K2070:K2071" si="371">HYPERLINK("http://twitter.com/download/android","Twitter for Android")</f>
        <v>Twitter for Android</v>
      </c>
      <c r="L2070" s="13">
        <v>962</v>
      </c>
      <c r="M2070" s="13">
        <v>1013</v>
      </c>
      <c r="N2070" s="13">
        <v>6</v>
      </c>
      <c r="O2070" s="15"/>
      <c r="P2070" s="6">
        <v>41248.381539351853</v>
      </c>
      <c r="Q2070" s="16" t="s">
        <v>7000</v>
      </c>
      <c r="R2070" s="17" t="s">
        <v>7001</v>
      </c>
      <c r="S2070" s="12"/>
      <c r="T2070" s="12"/>
      <c r="U2070" s="10" t="str">
        <f>HYPERLINK("https://pbs.twimg.com/profile_images/1010659367039963141/uLmrG3zm.jpg","View")</f>
        <v>View</v>
      </c>
    </row>
    <row r="2071" spans="1:21" ht="30.6">
      <c r="A2071" s="6">
        <v>43440.791678240741</v>
      </c>
      <c r="B2071" s="7" t="str">
        <f>HYPERLINK("https://twitter.com/elperroverde60","@elperroverde60")</f>
        <v>@elperroverde60</v>
      </c>
      <c r="C2071" s="8" t="s">
        <v>7002</v>
      </c>
      <c r="D2071" s="9" t="s">
        <v>5023</v>
      </c>
      <c r="E2071" s="10" t="str">
        <f>HYPERLINK("https://twitter.com/elperroverde60/status/1070739655149191168","1070739655149191168")</f>
        <v>1070739655149191168</v>
      </c>
      <c r="F2071" s="11" t="s">
        <v>6393</v>
      </c>
      <c r="G2071" s="12"/>
      <c r="H2071" s="12"/>
      <c r="I2071" s="13">
        <v>0</v>
      </c>
      <c r="J2071" s="13">
        <v>0</v>
      </c>
      <c r="K2071" s="14" t="str">
        <f t="shared" si="371"/>
        <v>Twitter for Android</v>
      </c>
      <c r="L2071" s="13">
        <v>482</v>
      </c>
      <c r="M2071" s="13">
        <v>1068</v>
      </c>
      <c r="N2071" s="13">
        <v>15</v>
      </c>
      <c r="O2071" s="15"/>
      <c r="P2071" s="6">
        <v>42089.883263888885</v>
      </c>
      <c r="Q2071" s="16" t="s">
        <v>7003</v>
      </c>
      <c r="R2071" s="17" t="s">
        <v>7004</v>
      </c>
      <c r="S2071" s="11" t="s">
        <v>7005</v>
      </c>
      <c r="T2071" s="12"/>
      <c r="U2071" s="10" t="str">
        <f>HYPERLINK("https://pbs.twimg.com/profile_images/910885355607511041/DPA_yUF4.jpg","View")</f>
        <v>View</v>
      </c>
    </row>
    <row r="2072" spans="1:21" ht="40.799999999999997">
      <c r="A2072" s="6">
        <v>43440.791678240741</v>
      </c>
      <c r="B2072" s="7" t="str">
        <f>HYPERLINK("https://twitter.com/El_Intermedio","@El_Intermedio")</f>
        <v>@El_Intermedio</v>
      </c>
      <c r="C2072" s="8" t="s">
        <v>1595</v>
      </c>
      <c r="D2072" s="9" t="s">
        <v>1596</v>
      </c>
      <c r="E2072" s="10" t="str">
        <f>HYPERLINK("https://twitter.com/El_Intermedio/status/1070739651718234114","1070739651718234114")</f>
        <v>1070739651718234114</v>
      </c>
      <c r="F2072" s="11" t="s">
        <v>7007</v>
      </c>
      <c r="G2072" s="12"/>
      <c r="H2072" s="12"/>
      <c r="I2072" s="13">
        <v>7</v>
      </c>
      <c r="J2072" s="13">
        <v>14</v>
      </c>
      <c r="K2072" s="14" t="str">
        <f>HYPERLINK("http://dogtrack.es","DogTrack_Oficial")</f>
        <v>DogTrack_Oficial</v>
      </c>
      <c r="L2072" s="13">
        <v>1011587</v>
      </c>
      <c r="M2072" s="13">
        <v>1770</v>
      </c>
      <c r="N2072" s="13">
        <v>4854</v>
      </c>
      <c r="O2072" s="18" t="s">
        <v>41</v>
      </c>
      <c r="P2072" s="6">
        <v>39692.485879629632</v>
      </c>
      <c r="Q2072" s="16" t="s">
        <v>60</v>
      </c>
      <c r="R2072" s="17" t="s">
        <v>1598</v>
      </c>
      <c r="S2072" s="11" t="s">
        <v>1599</v>
      </c>
      <c r="T2072" s="12"/>
      <c r="U2072" s="10" t="str">
        <f>HYPERLINK("https://pbs.twimg.com/profile_images/1037049026523348992/kW9y-kbu.jpg","View")</f>
        <v>View</v>
      </c>
    </row>
    <row r="2073" spans="1:21" ht="40.799999999999997">
      <c r="A2073" s="6">
        <v>43440.790833333333</v>
      </c>
      <c r="B2073" s="7" t="str">
        <f>HYPERLINK("https://twitter.com/InLibertatem","@InLibertatem")</f>
        <v>@InLibertatem</v>
      </c>
      <c r="C2073" s="8" t="s">
        <v>2232</v>
      </c>
      <c r="D2073" s="9" t="s">
        <v>7009</v>
      </c>
      <c r="E2073" s="10" t="str">
        <f>HYPERLINK("https://twitter.com/InLibertatem/status/1070739348843302912","1070739348843302912")</f>
        <v>1070739348843302912</v>
      </c>
      <c r="F2073" s="11" t="s">
        <v>7010</v>
      </c>
      <c r="G2073" s="12"/>
      <c r="H2073" s="12"/>
      <c r="I2073" s="13">
        <v>15</v>
      </c>
      <c r="J2073" s="13">
        <v>17</v>
      </c>
      <c r="K2073" s="14" t="str">
        <f>HYPERLINK("http://twitter.com","Twitter Web Client")</f>
        <v>Twitter Web Client</v>
      </c>
      <c r="L2073" s="13">
        <v>7610</v>
      </c>
      <c r="M2073" s="13">
        <v>280</v>
      </c>
      <c r="N2073" s="13">
        <v>51</v>
      </c>
      <c r="O2073" s="15"/>
      <c r="P2073" s="6">
        <v>41121.592812499999</v>
      </c>
      <c r="Q2073" s="16" t="s">
        <v>2234</v>
      </c>
      <c r="R2073" s="17" t="s">
        <v>2235</v>
      </c>
      <c r="S2073" s="12"/>
      <c r="T2073" s="12"/>
      <c r="U2073" s="10" t="str">
        <f>HYPERLINK("https://pbs.twimg.com/profile_images/1070729371235876865/F7kJZC-a.jpg","View")</f>
        <v>View</v>
      </c>
    </row>
    <row r="2074" spans="1:21" ht="30.6">
      <c r="A2074" s="6">
        <v>43440.79074074074</v>
      </c>
      <c r="B2074" s="7" t="str">
        <f>HYPERLINK("https://twitter.com/periodicovzlano","@periodicovzlano")</f>
        <v>@periodicovzlano</v>
      </c>
      <c r="C2074" s="8" t="s">
        <v>869</v>
      </c>
      <c r="D2074" s="9" t="s">
        <v>3001</v>
      </c>
      <c r="E2074" s="10" t="str">
        <f>HYPERLINK("https://twitter.com/periodicovzlano/status/1070739315670564864","1070739315670564864")</f>
        <v>1070739315670564864</v>
      </c>
      <c r="F2074" s="11" t="s">
        <v>2757</v>
      </c>
      <c r="G2074" s="11" t="s">
        <v>7011</v>
      </c>
      <c r="H2074" s="12"/>
      <c r="I2074" s="13">
        <v>0</v>
      </c>
      <c r="J2074" s="13">
        <v>0</v>
      </c>
      <c r="K2074" s="14" t="str">
        <f>HYPERLINK("http://epmundo.com","Tuiteo TOP EP (1)")</f>
        <v>Tuiteo TOP EP (1)</v>
      </c>
      <c r="L2074" s="13">
        <v>479694</v>
      </c>
      <c r="M2074" s="13">
        <v>358804</v>
      </c>
      <c r="N2074" s="13">
        <v>1295</v>
      </c>
      <c r="O2074" s="15"/>
      <c r="P2074" s="6">
        <v>40663.3512962963</v>
      </c>
      <c r="Q2074" s="16" t="s">
        <v>871</v>
      </c>
      <c r="R2074" s="17" t="s">
        <v>872</v>
      </c>
      <c r="S2074" s="11" t="s">
        <v>873</v>
      </c>
      <c r="T2074" s="12"/>
      <c r="U2074" s="10" t="str">
        <f>HYPERLINK("https://pbs.twimg.com/profile_images/958328579250638849/MCz7Q8U6.jpg","View")</f>
        <v>View</v>
      </c>
    </row>
    <row r="2075" spans="1:21" ht="20.399999999999999">
      <c r="A2075" s="6">
        <v>43440.790532407409</v>
      </c>
      <c r="B2075" s="7" t="str">
        <f>HYPERLINK("https://twitter.com/GlezFeder","@GlezFeder")</f>
        <v>@GlezFeder</v>
      </c>
      <c r="C2075" s="8" t="s">
        <v>799</v>
      </c>
      <c r="D2075" s="9" t="s">
        <v>5749</v>
      </c>
      <c r="E2075" s="10" t="str">
        <f>HYPERLINK("https://twitter.com/GlezFeder/status/1070739239594287104","1070739239594287104")</f>
        <v>1070739239594287104</v>
      </c>
      <c r="F2075" s="11" t="s">
        <v>7012</v>
      </c>
      <c r="G2075" s="12"/>
      <c r="H2075" s="12"/>
      <c r="I2075" s="13">
        <v>0</v>
      </c>
      <c r="J2075" s="13">
        <v>0</v>
      </c>
      <c r="K2075" s="14" t="str">
        <f>HYPERLINK("http://twitter.com","Twitter Web Client")</f>
        <v>Twitter Web Client</v>
      </c>
      <c r="L2075" s="13">
        <v>237</v>
      </c>
      <c r="M2075" s="13">
        <v>267</v>
      </c>
      <c r="N2075" s="13">
        <v>2</v>
      </c>
      <c r="O2075" s="15"/>
      <c r="P2075" s="6">
        <v>43247.825613425928</v>
      </c>
      <c r="Q2075" s="16" t="s">
        <v>802</v>
      </c>
      <c r="R2075" s="17" t="s">
        <v>803</v>
      </c>
      <c r="S2075" s="12"/>
      <c r="T2075" s="12"/>
      <c r="U2075" s="10" t="str">
        <f>HYPERLINK("https://pbs.twimg.com/profile_images/1060247976700973056/3K9K-vjB.jpg","View")</f>
        <v>View</v>
      </c>
    </row>
    <row r="2076" spans="1:21" ht="20.399999999999999">
      <c r="A2076" s="6">
        <v>43440.787141203706</v>
      </c>
      <c r="B2076" s="7" t="str">
        <f>HYPERLINK("https://twitter.com/Infitrado","@Infitrado")</f>
        <v>@Infitrado</v>
      </c>
      <c r="C2076" s="8" t="s">
        <v>7013</v>
      </c>
      <c r="D2076" s="9" t="s">
        <v>7014</v>
      </c>
      <c r="E2076" s="10" t="str">
        <f>HYPERLINK("https://twitter.com/Infitrado/status/1070738007706230794","1070738007706230794")</f>
        <v>1070738007706230794</v>
      </c>
      <c r="F2076" s="11" t="s">
        <v>7015</v>
      </c>
      <c r="G2076" s="12"/>
      <c r="H2076" s="12"/>
      <c r="I2076" s="13">
        <v>1</v>
      </c>
      <c r="J2076" s="13">
        <v>0</v>
      </c>
      <c r="K2076" s="14" t="str">
        <f>HYPERLINK("http://twitter.com/download/android","Twitter for Android")</f>
        <v>Twitter for Android</v>
      </c>
      <c r="L2076" s="13">
        <v>1593</v>
      </c>
      <c r="M2076" s="13">
        <v>3477</v>
      </c>
      <c r="N2076" s="13">
        <v>1</v>
      </c>
      <c r="O2076" s="15"/>
      <c r="P2076" s="6">
        <v>40472.692083333335</v>
      </c>
      <c r="Q2076" s="16" t="s">
        <v>7016</v>
      </c>
      <c r="R2076" s="17" t="s">
        <v>7017</v>
      </c>
      <c r="S2076" s="12"/>
      <c r="T2076" s="12"/>
      <c r="U2076" s="10" t="str">
        <f>HYPERLINK("https://pbs.twimg.com/profile_images/1069659208528920576/_6wIEOtd.jpg","View")</f>
        <v>View</v>
      </c>
    </row>
    <row r="2077" spans="1:21" ht="20.399999999999999">
      <c r="A2077" s="6">
        <v>43440.785648148143</v>
      </c>
      <c r="B2077" s="7" t="str">
        <f>HYPERLINK("https://twitter.com/Extremoforo","@Extremoforo")</f>
        <v>@Extremoforo</v>
      </c>
      <c r="C2077" s="8" t="s">
        <v>7018</v>
      </c>
      <c r="D2077" s="9" t="s">
        <v>5235</v>
      </c>
      <c r="E2077" s="10" t="str">
        <f>HYPERLINK("https://twitter.com/Extremoforo/status/1070737467194658817","1070737467194658817")</f>
        <v>1070737467194658817</v>
      </c>
      <c r="F2077" s="11" t="s">
        <v>7019</v>
      </c>
      <c r="G2077" s="12"/>
      <c r="H2077" s="12"/>
      <c r="I2077" s="13">
        <v>0</v>
      </c>
      <c r="J2077" s="13">
        <v>0</v>
      </c>
      <c r="K2077" s="14" t="str">
        <f>HYPERLINK("http://www.facebook.com/twitter","Facebook")</f>
        <v>Facebook</v>
      </c>
      <c r="L2077" s="13">
        <v>216</v>
      </c>
      <c r="M2077" s="13">
        <v>211</v>
      </c>
      <c r="N2077" s="13">
        <v>3</v>
      </c>
      <c r="O2077" s="15"/>
      <c r="P2077" s="6">
        <v>41318.60392361111</v>
      </c>
      <c r="Q2077" s="16" t="s">
        <v>7020</v>
      </c>
      <c r="R2077" s="17" t="s">
        <v>7021</v>
      </c>
      <c r="S2077" s="11" t="s">
        <v>7022</v>
      </c>
      <c r="T2077" s="12"/>
      <c r="U2077" s="10" t="str">
        <f>HYPERLINK("https://pbs.twimg.com/profile_images/978020899315167232/6sI74kvw.jpg","View")</f>
        <v>View</v>
      </c>
    </row>
    <row r="2078" spans="1:21" ht="71.400000000000006">
      <c r="A2078" s="6">
        <v>43440.784861111111</v>
      </c>
      <c r="B2078" s="7" t="str">
        <f>HYPERLINK("https://twitter.com/ChemaGilXX","@ChemaGilXX")</f>
        <v>@ChemaGilXX</v>
      </c>
      <c r="C2078" s="8" t="s">
        <v>7023</v>
      </c>
      <c r="D2078" s="9" t="s">
        <v>7024</v>
      </c>
      <c r="E2078" s="10" t="str">
        <f>HYPERLINK("https://twitter.com/ChemaGilXX/status/1070737185282908160","1070737185282908160")</f>
        <v>1070737185282908160</v>
      </c>
      <c r="F2078" s="11" t="s">
        <v>162</v>
      </c>
      <c r="G2078" s="11" t="s">
        <v>164</v>
      </c>
      <c r="H2078" s="12"/>
      <c r="I2078" s="13">
        <v>1</v>
      </c>
      <c r="J2078" s="13">
        <v>1</v>
      </c>
      <c r="K2078" s="14" t="str">
        <f>HYPERLINK("http://twitter.com/download/android","Twitter for Android")</f>
        <v>Twitter for Android</v>
      </c>
      <c r="L2078" s="13">
        <v>266</v>
      </c>
      <c r="M2078" s="13">
        <v>271</v>
      </c>
      <c r="N2078" s="13">
        <v>1</v>
      </c>
      <c r="O2078" s="15"/>
      <c r="P2078" s="6">
        <v>40971.801377314812</v>
      </c>
      <c r="Q2078" s="12"/>
      <c r="R2078" s="19"/>
      <c r="S2078" s="12"/>
      <c r="T2078" s="12"/>
      <c r="U2078" s="10" t="str">
        <f>HYPERLINK("https://pbs.twimg.com/profile_images/378800000806233458/f5b201e90f17e7a219f777326233834c.jpeg","View")</f>
        <v>View</v>
      </c>
    </row>
    <row r="2079" spans="1:21" ht="40.799999999999997">
      <c r="A2079" s="6">
        <v>43440.784837962958</v>
      </c>
      <c r="B2079" s="7" t="str">
        <f>HYPERLINK("https://twitter.com/futbolred","@futbolred")</f>
        <v>@futbolred</v>
      </c>
      <c r="C2079" s="20" t="s">
        <v>5618</v>
      </c>
      <c r="D2079" s="9" t="s">
        <v>5619</v>
      </c>
      <c r="E2079" s="10" t="str">
        <f>HYPERLINK("https://twitter.com/futbolred/status/1070737176453922817","1070737176453922817")</f>
        <v>1070737176453922817</v>
      </c>
      <c r="F2079" s="11" t="s">
        <v>5620</v>
      </c>
      <c r="G2079" s="11" t="s">
        <v>7025</v>
      </c>
      <c r="H2079" s="12"/>
      <c r="I2079" s="13">
        <v>7</v>
      </c>
      <c r="J2079" s="13">
        <v>19</v>
      </c>
      <c r="K2079" s="14" t="str">
        <f>HYPERLINK("https://www.hootsuite.com","Hootsuite Inc.")</f>
        <v>Hootsuite Inc.</v>
      </c>
      <c r="L2079" s="13">
        <v>864962</v>
      </c>
      <c r="M2079" s="13">
        <v>645</v>
      </c>
      <c r="N2079" s="13">
        <v>2201</v>
      </c>
      <c r="O2079" s="15"/>
      <c r="P2079" s="6">
        <v>39553.964872685188</v>
      </c>
      <c r="Q2079" s="16" t="s">
        <v>5622</v>
      </c>
      <c r="R2079" s="17" t="s">
        <v>5623</v>
      </c>
      <c r="S2079" s="11" t="s">
        <v>5624</v>
      </c>
      <c r="T2079" s="12"/>
      <c r="U2079" s="10" t="str">
        <f>HYPERLINK("https://pbs.twimg.com/profile_images/604306469853388800/z1TU5S2m.png","View")</f>
        <v>View</v>
      </c>
    </row>
    <row r="2080" spans="1:21" ht="40.799999999999997">
      <c r="A2080" s="6">
        <v>43440.784826388888</v>
      </c>
      <c r="B2080" s="7" t="str">
        <f>HYPERLINK("https://twitter.com/Cat_FAC","@Cat_FAC")</f>
        <v>@Cat_FAC</v>
      </c>
      <c r="C2080" s="8" t="s">
        <v>7026</v>
      </c>
      <c r="D2080" s="9" t="s">
        <v>7027</v>
      </c>
      <c r="E2080" s="10" t="str">
        <f>HYPERLINK("https://twitter.com/Cat_FAC/status/1070737172779675648","1070737172779675648")</f>
        <v>1070737172779675648</v>
      </c>
      <c r="F2080" s="11" t="s">
        <v>7028</v>
      </c>
      <c r="G2080" s="11" t="s">
        <v>7029</v>
      </c>
      <c r="H2080" s="12"/>
      <c r="I2080" s="13">
        <v>1</v>
      </c>
      <c r="J2080" s="13">
        <v>2</v>
      </c>
      <c r="K2080" s="14" t="str">
        <f>HYPERLINK("https://postcron.com","Postcron App")</f>
        <v>Postcron App</v>
      </c>
      <c r="L2080" s="13">
        <v>6973</v>
      </c>
      <c r="M2080" s="13">
        <v>744</v>
      </c>
      <c r="N2080" s="13">
        <v>108</v>
      </c>
      <c r="O2080" s="15"/>
      <c r="P2080" s="6">
        <v>41256.701631944445</v>
      </c>
      <c r="Q2080" s="16" t="s">
        <v>1249</v>
      </c>
      <c r="R2080" s="17" t="s">
        <v>7030</v>
      </c>
      <c r="S2080" s="11" t="s">
        <v>7031</v>
      </c>
      <c r="T2080" s="12"/>
      <c r="U2080" s="10" t="str">
        <f>HYPERLINK("https://pbs.twimg.com/profile_images/1069102670101782528/eGaSo2rs.jpg","View")</f>
        <v>View</v>
      </c>
    </row>
    <row r="2081" spans="1:21" ht="51">
      <c r="A2081" s="6">
        <v>43440.784814814819</v>
      </c>
      <c r="B2081" s="7" t="str">
        <f>HYPERLINK("https://twitter.com/ldpsincomplejos","@ldpsincomplejos")</f>
        <v>@ldpsincomplejos</v>
      </c>
      <c r="C2081" s="8" t="s">
        <v>4043</v>
      </c>
      <c r="D2081" s="9" t="s">
        <v>7033</v>
      </c>
      <c r="E2081" s="10" t="str">
        <f>HYPERLINK("https://twitter.com/ldpsincomplejos/status/1070737164567228416","1070737164567228416")</f>
        <v>1070737164567228416</v>
      </c>
      <c r="F2081" s="11" t="s">
        <v>4815</v>
      </c>
      <c r="G2081" s="12"/>
      <c r="H2081" s="12"/>
      <c r="I2081" s="13">
        <v>131</v>
      </c>
      <c r="J2081" s="13">
        <v>234</v>
      </c>
      <c r="K2081" s="14" t="str">
        <f>HYPERLINK("http://twitter.com","Twitter Web Client")</f>
        <v>Twitter Web Client</v>
      </c>
      <c r="L2081" s="13">
        <v>110881</v>
      </c>
      <c r="M2081" s="13">
        <v>2643</v>
      </c>
      <c r="N2081" s="13">
        <v>1069</v>
      </c>
      <c r="O2081" s="18" t="s">
        <v>41</v>
      </c>
      <c r="P2081" s="6">
        <v>40566.777245370373</v>
      </c>
      <c r="Q2081" s="16" t="s">
        <v>200</v>
      </c>
      <c r="R2081" s="17" t="s">
        <v>4045</v>
      </c>
      <c r="S2081" s="11" t="s">
        <v>4046</v>
      </c>
      <c r="T2081" s="12"/>
      <c r="U2081" s="10" t="str">
        <f>HYPERLINK("https://pbs.twimg.com/profile_images/1007677959245828097/i-2yAFvg.jpg","View")</f>
        <v>View</v>
      </c>
    </row>
    <row r="2082" spans="1:21" ht="20.399999999999999">
      <c r="A2082" s="6">
        <v>43440.784513888888</v>
      </c>
      <c r="B2082" s="7" t="str">
        <f>HYPERLINK("https://twitter.com/c_tewqyuipva","@c_tewqyuipva")</f>
        <v>@c_tewqyuipva</v>
      </c>
      <c r="C2082" s="8" t="s">
        <v>7038</v>
      </c>
      <c r="D2082" s="9" t="s">
        <v>6259</v>
      </c>
      <c r="E2082" s="10" t="str">
        <f>HYPERLINK("https://twitter.com/c_tewqyuipva/status/1070737057612513280","1070737057612513280")</f>
        <v>1070737057612513280</v>
      </c>
      <c r="F2082" s="11" t="s">
        <v>6260</v>
      </c>
      <c r="G2082" s="12"/>
      <c r="H2082" s="12"/>
      <c r="I2082" s="13">
        <v>0</v>
      </c>
      <c r="J2082" s="13">
        <v>0</v>
      </c>
      <c r="K2082" s="14" t="str">
        <f>HYPERLINK("http://twitter.com/#!/download/ipad","Twitter for iPad")</f>
        <v>Twitter for iPad</v>
      </c>
      <c r="L2082" s="13">
        <v>170</v>
      </c>
      <c r="M2082" s="13">
        <v>1028</v>
      </c>
      <c r="N2082" s="13">
        <v>0</v>
      </c>
      <c r="O2082" s="15"/>
      <c r="P2082" s="6">
        <v>40669.986168981479</v>
      </c>
      <c r="Q2082" s="16" t="s">
        <v>2445</v>
      </c>
      <c r="R2082" s="19"/>
      <c r="S2082" s="12"/>
      <c r="T2082" s="12"/>
      <c r="U2082" s="10" t="str">
        <f>HYPERLINK("https://pbs.twimg.com/profile_images/1035539831349280768/4t5CBwSI.jpg","View")</f>
        <v>View</v>
      </c>
    </row>
    <row r="2083" spans="1:21" ht="13.2">
      <c r="A2083" s="6">
        <v>43440.782662037032</v>
      </c>
      <c r="B2083" s="7" t="str">
        <f>HYPERLINK("https://twitter.com/MaribelSnchez18","@MaribelSnchez18")</f>
        <v>@MaribelSnchez18</v>
      </c>
      <c r="C2083" s="8" t="s">
        <v>7039</v>
      </c>
      <c r="D2083" s="9" t="s">
        <v>7040</v>
      </c>
      <c r="E2083" s="10" t="str">
        <f>HYPERLINK("https://twitter.com/MaribelSnchez18/status/1070736387715031040","1070736387715031040")</f>
        <v>1070736387715031040</v>
      </c>
      <c r="F2083" s="11" t="s">
        <v>4815</v>
      </c>
      <c r="G2083" s="12"/>
      <c r="H2083" s="12"/>
      <c r="I2083" s="13">
        <v>0</v>
      </c>
      <c r="J2083" s="13">
        <v>1</v>
      </c>
      <c r="K2083" s="14" t="str">
        <f>HYPERLINK("http://twitter.com/download/android","Twitter for Android")</f>
        <v>Twitter for Android</v>
      </c>
      <c r="L2083" s="13">
        <v>168</v>
      </c>
      <c r="M2083" s="13">
        <v>220</v>
      </c>
      <c r="N2083" s="13">
        <v>1</v>
      </c>
      <c r="O2083" s="15"/>
      <c r="P2083" s="6">
        <v>41709.960787037038</v>
      </c>
      <c r="Q2083" s="16" t="s">
        <v>7041</v>
      </c>
      <c r="R2083" s="19"/>
      <c r="S2083" s="12"/>
      <c r="T2083" s="12"/>
      <c r="U2083" s="10" t="str">
        <f>HYPERLINK("https://pbs.twimg.com/profile_images/1055068294674333697/e_E3-MOd.jpg","View")</f>
        <v>View</v>
      </c>
    </row>
    <row r="2084" spans="1:21" ht="112.2">
      <c r="A2084" s="6">
        <v>43440.781863425931</v>
      </c>
      <c r="B2084" s="7" t="str">
        <f>HYPERLINK("https://twitter.com/JCortesM","@JCortesM")</f>
        <v>@JCortesM</v>
      </c>
      <c r="C2084" s="8" t="s">
        <v>7043</v>
      </c>
      <c r="D2084" s="9" t="s">
        <v>7044</v>
      </c>
      <c r="E2084" s="10" t="str">
        <f>HYPERLINK("https://twitter.com/JCortesM/status/1070736096487706624","1070736096487706624")</f>
        <v>1070736096487706624</v>
      </c>
      <c r="F2084" s="11" t="s">
        <v>7045</v>
      </c>
      <c r="G2084" s="11" t="s">
        <v>7046</v>
      </c>
      <c r="H2084" s="12"/>
      <c r="I2084" s="13">
        <v>0</v>
      </c>
      <c r="J2084" s="13">
        <v>2</v>
      </c>
      <c r="K2084" s="14" t="str">
        <f>HYPERLINK("http://twitter.com","Twitter Web Client")</f>
        <v>Twitter Web Client</v>
      </c>
      <c r="L2084" s="13">
        <v>312</v>
      </c>
      <c r="M2084" s="13">
        <v>299</v>
      </c>
      <c r="N2084" s="13">
        <v>21</v>
      </c>
      <c r="O2084" s="15"/>
      <c r="P2084" s="6">
        <v>41456.064722222218</v>
      </c>
      <c r="Q2084" s="12"/>
      <c r="R2084" s="17" t="s">
        <v>7047</v>
      </c>
      <c r="S2084" s="12"/>
      <c r="T2084" s="12"/>
      <c r="U2084" s="10" t="str">
        <f>HYPERLINK("https://pbs.twimg.com/profile_images/1046471124446588933/rCZ9FdNd.jpg","View")</f>
        <v>View</v>
      </c>
    </row>
    <row r="2085" spans="1:21" ht="30.6">
      <c r="A2085" s="6">
        <v>43440.781215277777</v>
      </c>
      <c r="B2085" s="7" t="str">
        <f>HYPERLINK("https://twitter.com/Republica_com","@Republica_com")</f>
        <v>@Republica_com</v>
      </c>
      <c r="C2085" s="20" t="s">
        <v>3365</v>
      </c>
      <c r="D2085" s="9" t="s">
        <v>7048</v>
      </c>
      <c r="E2085" s="10" t="str">
        <f>HYPERLINK("https://twitter.com/Republica_com/status/1070735861732569088","1070735861732569088")</f>
        <v>1070735861732569088</v>
      </c>
      <c r="F2085" s="11" t="s">
        <v>5308</v>
      </c>
      <c r="G2085" s="11" t="s">
        <v>7049</v>
      </c>
      <c r="H2085" s="12"/>
      <c r="I2085" s="13">
        <v>0</v>
      </c>
      <c r="J2085" s="13">
        <v>0</v>
      </c>
      <c r="K2085" s="14" t="str">
        <f>HYPERLINK("https://www.republica.com","Republica_com")</f>
        <v>Republica_com</v>
      </c>
      <c r="L2085" s="13">
        <v>10097</v>
      </c>
      <c r="M2085" s="13">
        <v>1227</v>
      </c>
      <c r="N2085" s="13">
        <v>469</v>
      </c>
      <c r="O2085" s="15"/>
      <c r="P2085" s="6">
        <v>40240.683865740742</v>
      </c>
      <c r="Q2085" s="16" t="s">
        <v>60</v>
      </c>
      <c r="R2085" s="17" t="s">
        <v>3367</v>
      </c>
      <c r="S2085" s="11" t="s">
        <v>3369</v>
      </c>
      <c r="T2085" s="12"/>
      <c r="U2085" s="10" t="str">
        <f>HYPERLINK("https://pbs.twimg.com/profile_images/553133695133941760/v--ksuL8.png","View")</f>
        <v>View</v>
      </c>
    </row>
    <row r="2086" spans="1:21" ht="20.399999999999999">
      <c r="A2086" s="6">
        <v>43440.779629629629</v>
      </c>
      <c r="B2086" s="7" t="str">
        <f>HYPERLINK("https://twitter.com/Carloslsaa","@Carloslsaa")</f>
        <v>@Carloslsaa</v>
      </c>
      <c r="C2086" s="8" t="s">
        <v>7050</v>
      </c>
      <c r="D2086" s="9" t="s">
        <v>7051</v>
      </c>
      <c r="E2086" s="10" t="str">
        <f>HYPERLINK("https://twitter.com/Carloslsaa/status/1070735286668279828","1070735286668279828")</f>
        <v>1070735286668279828</v>
      </c>
      <c r="F2086" s="12"/>
      <c r="G2086" s="12"/>
      <c r="H2086" s="12"/>
      <c r="I2086" s="13">
        <v>0</v>
      </c>
      <c r="J2086" s="13">
        <v>0</v>
      </c>
      <c r="K2086" s="14" t="str">
        <f>HYPERLINK("http://twitter.com/download/android","Twitter for Android")</f>
        <v>Twitter for Android</v>
      </c>
      <c r="L2086" s="13">
        <v>3</v>
      </c>
      <c r="M2086" s="13">
        <v>2</v>
      </c>
      <c r="N2086" s="13">
        <v>0</v>
      </c>
      <c r="O2086" s="15"/>
      <c r="P2086" s="6">
        <v>42716.680023148147</v>
      </c>
      <c r="Q2086" s="12"/>
      <c r="R2086" s="19"/>
      <c r="S2086" s="12"/>
      <c r="T2086" s="12"/>
      <c r="U2086" s="18" t="s">
        <v>67</v>
      </c>
    </row>
    <row r="2087" spans="1:21" ht="20.399999999999999">
      <c r="A2087" s="6">
        <v>43440.778194444443</v>
      </c>
      <c r="B2087" s="7" t="str">
        <f>HYPERLINK("https://twitter.com/vurbinaporrero","@vurbinaporrero")</f>
        <v>@vurbinaporrero</v>
      </c>
      <c r="C2087" s="8" t="s">
        <v>6618</v>
      </c>
      <c r="D2087" s="9" t="s">
        <v>6619</v>
      </c>
      <c r="E2087" s="10" t="str">
        <f>HYPERLINK("https://twitter.com/vurbinaporrero/status/1070734767862243328","1070734767862243328")</f>
        <v>1070734767862243328</v>
      </c>
      <c r="F2087" s="11" t="s">
        <v>6620</v>
      </c>
      <c r="G2087" s="12"/>
      <c r="H2087" s="12"/>
      <c r="I2087" s="13">
        <v>0</v>
      </c>
      <c r="J2087" s="13">
        <v>0</v>
      </c>
      <c r="K2087" s="14" t="str">
        <f>HYPERLINK("http://twitter.com/download/iphone","Twitter for iPhone")</f>
        <v>Twitter for iPhone</v>
      </c>
      <c r="L2087" s="13">
        <v>741</v>
      </c>
      <c r="M2087" s="13">
        <v>1000</v>
      </c>
      <c r="N2087" s="13">
        <v>25</v>
      </c>
      <c r="O2087" s="15"/>
      <c r="P2087" s="6">
        <v>40708.956331018519</v>
      </c>
      <c r="Q2087" s="16" t="s">
        <v>2044</v>
      </c>
      <c r="R2087" s="17" t="s">
        <v>6621</v>
      </c>
      <c r="S2087" s="12"/>
      <c r="T2087" s="12"/>
      <c r="U2087" s="10" t="str">
        <f>HYPERLINK("https://pbs.twimg.com/profile_images/637723788981981184/cVViq0f3.jpg","View")</f>
        <v>View</v>
      </c>
    </row>
    <row r="2088" spans="1:21" ht="40.799999999999997">
      <c r="A2088" s="6">
        <v>43440.778194444443</v>
      </c>
      <c r="B2088" s="7" t="str">
        <f>HYPERLINK("https://twitter.com/MariaTabarnia","@MariaTabarnia")</f>
        <v>@MariaTabarnia</v>
      </c>
      <c r="C2088" s="8" t="s">
        <v>580</v>
      </c>
      <c r="D2088" s="9" t="s">
        <v>6622</v>
      </c>
      <c r="E2088" s="10" t="str">
        <f>HYPERLINK("https://twitter.com/MariaTabarnia/status/1070734767128276994","1070734767128276994")</f>
        <v>1070734767128276994</v>
      </c>
      <c r="F2088" s="12"/>
      <c r="G2088" s="11" t="s">
        <v>6623</v>
      </c>
      <c r="H2088" s="12"/>
      <c r="I2088" s="13">
        <v>88</v>
      </c>
      <c r="J2088" s="13">
        <v>160</v>
      </c>
      <c r="K2088" s="14" t="str">
        <f>HYPERLINK("http://twitter.com/#!/download/ipad","Twitter for iPad")</f>
        <v>Twitter for iPad</v>
      </c>
      <c r="L2088" s="13">
        <v>12680</v>
      </c>
      <c r="M2088" s="13">
        <v>13834</v>
      </c>
      <c r="N2088" s="13">
        <v>55</v>
      </c>
      <c r="O2088" s="15"/>
      <c r="P2088" s="6">
        <v>41424.855567129627</v>
      </c>
      <c r="Q2088" s="16" t="s">
        <v>583</v>
      </c>
      <c r="R2088" s="17" t="s">
        <v>584</v>
      </c>
      <c r="S2088" s="12"/>
      <c r="T2088" s="12"/>
      <c r="U2088" s="10" t="str">
        <f>HYPERLINK("https://pbs.twimg.com/profile_images/906661884199391232/L9xcUYsf.jpg","View")</f>
        <v>View</v>
      </c>
    </row>
    <row r="2089" spans="1:21" ht="20.399999999999999">
      <c r="A2089" s="6">
        <v>43440.778136574074</v>
      </c>
      <c r="B2089" s="7" t="str">
        <f>HYPERLINK("https://twitter.com/VerdolagaAddict","@VerdolagaAddict")</f>
        <v>@VerdolagaAddict</v>
      </c>
      <c r="C2089" s="8" t="s">
        <v>7052</v>
      </c>
      <c r="D2089" s="9" t="s">
        <v>7053</v>
      </c>
      <c r="E2089" s="10" t="str">
        <f>HYPERLINK("https://twitter.com/VerdolagaAddict/status/1070734748300001281","1070734748300001281")</f>
        <v>1070734748300001281</v>
      </c>
      <c r="F2089" s="11" t="s">
        <v>7054</v>
      </c>
      <c r="G2089" s="12"/>
      <c r="H2089" s="12"/>
      <c r="I2089" s="13">
        <v>0</v>
      </c>
      <c r="J2089" s="13">
        <v>0</v>
      </c>
      <c r="K2089" s="14" t="str">
        <f>HYPERLINK("http://www.futbol-addict.com/es-co/news/liga-aguila/atletico-nacional","Verdolagas Addict")</f>
        <v>Verdolagas Addict</v>
      </c>
      <c r="L2089" s="13">
        <v>752</v>
      </c>
      <c r="M2089" s="13">
        <v>934</v>
      </c>
      <c r="N2089" s="13">
        <v>2</v>
      </c>
      <c r="O2089" s="15"/>
      <c r="P2089" s="6">
        <v>42845.66987268519</v>
      </c>
      <c r="Q2089" s="16" t="s">
        <v>5732</v>
      </c>
      <c r="R2089" s="17" t="s">
        <v>7055</v>
      </c>
      <c r="S2089" s="11" t="s">
        <v>7056</v>
      </c>
      <c r="T2089" s="12"/>
      <c r="U2089" s="10" t="str">
        <f>HYPERLINK("https://pbs.twimg.com/profile_images/855062092172468224/dsWIUFre.jpg","View")</f>
        <v>View</v>
      </c>
    </row>
    <row r="2090" spans="1:21" ht="40.799999999999997">
      <c r="A2090" s="6">
        <v>43440.777847222227</v>
      </c>
      <c r="B2090" s="7" t="str">
        <f>HYPERLINK("https://twitter.com/lextresabogados","@lextresabogados")</f>
        <v>@lextresabogados</v>
      </c>
      <c r="C2090" s="8" t="s">
        <v>226</v>
      </c>
      <c r="D2090" s="9" t="s">
        <v>7057</v>
      </c>
      <c r="E2090" s="10" t="str">
        <f>HYPERLINK("https://twitter.com/lextresabogados/status/1070734643585052672","1070734643585052672")</f>
        <v>1070734643585052672</v>
      </c>
      <c r="F2090" s="11" t="s">
        <v>7058</v>
      </c>
      <c r="G2090" s="12"/>
      <c r="H2090" s="12"/>
      <c r="I2090" s="13">
        <v>1</v>
      </c>
      <c r="J2090" s="13">
        <v>1</v>
      </c>
      <c r="K2090" s="14" t="str">
        <f>HYPERLINK("http://35.180.36.179","botize nueva")</f>
        <v>botize nueva</v>
      </c>
      <c r="L2090" s="13">
        <v>2912</v>
      </c>
      <c r="M2090" s="13">
        <v>3525</v>
      </c>
      <c r="N2090" s="13">
        <v>26</v>
      </c>
      <c r="O2090" s="15"/>
      <c r="P2090" s="6">
        <v>42880.770949074074</v>
      </c>
      <c r="Q2090" s="16" t="s">
        <v>230</v>
      </c>
      <c r="R2090" s="17" t="s">
        <v>231</v>
      </c>
      <c r="S2090" s="11" t="s">
        <v>232</v>
      </c>
      <c r="T2090" s="12"/>
      <c r="U2090" s="10" t="str">
        <f>HYPERLINK("https://pbs.twimg.com/profile_images/1068056978679898113/YnjKwiVy.jpg","View")</f>
        <v>View</v>
      </c>
    </row>
    <row r="2091" spans="1:21" ht="40.799999999999997">
      <c r="A2091" s="6">
        <v>43440.777847222227</v>
      </c>
      <c r="B2091" s="7" t="str">
        <f>HYPERLINK("https://twitter.com/Cambio16","@Cambio16")</f>
        <v>@Cambio16</v>
      </c>
      <c r="C2091" s="8" t="s">
        <v>2837</v>
      </c>
      <c r="D2091" s="9" t="s">
        <v>6627</v>
      </c>
      <c r="E2091" s="10" t="str">
        <f>HYPERLINK("https://twitter.com/Cambio16/status/1070734640300871681","1070734640300871681")</f>
        <v>1070734640300871681</v>
      </c>
      <c r="F2091" s="11" t="s">
        <v>6628</v>
      </c>
      <c r="G2091" s="11" t="s">
        <v>6629</v>
      </c>
      <c r="H2091" s="12"/>
      <c r="I2091" s="13">
        <v>0</v>
      </c>
      <c r="J2091" s="13">
        <v>0</v>
      </c>
      <c r="K2091" s="14" t="str">
        <f>HYPERLINK("https://www.hootsuite.com","Hootsuite Inc.")</f>
        <v>Hootsuite Inc.</v>
      </c>
      <c r="L2091" s="13">
        <v>17336</v>
      </c>
      <c r="M2091" s="13">
        <v>1007</v>
      </c>
      <c r="N2091" s="13">
        <v>502</v>
      </c>
      <c r="O2091" s="15"/>
      <c r="P2091" s="6">
        <v>40341.492245370369</v>
      </c>
      <c r="Q2091" s="16" t="s">
        <v>133</v>
      </c>
      <c r="R2091" s="17" t="s">
        <v>2842</v>
      </c>
      <c r="S2091" s="11" t="s">
        <v>2843</v>
      </c>
      <c r="T2091" s="12"/>
      <c r="U2091" s="10" t="str">
        <f>HYPERLINK("https://pbs.twimg.com/profile_images/1060221846208069632/vJfJ3_T5.jpg","View")</f>
        <v>View</v>
      </c>
    </row>
    <row r="2092" spans="1:21" ht="40.799999999999997">
      <c r="A2092" s="6">
        <v>43440.777777777781</v>
      </c>
      <c r="B2092" s="7" t="str">
        <f>HYPERLINK("https://twitter.com/lasprovincias","@lasprovincias")</f>
        <v>@lasprovincias</v>
      </c>
      <c r="C2092" s="8" t="s">
        <v>7059</v>
      </c>
      <c r="D2092" s="9" t="s">
        <v>7057</v>
      </c>
      <c r="E2092" s="10" t="str">
        <f>HYPERLINK("https://twitter.com/lasprovincias/status/1070734615743213570","1070734615743213570")</f>
        <v>1070734615743213570</v>
      </c>
      <c r="F2092" s="11" t="s">
        <v>7058</v>
      </c>
      <c r="G2092" s="12"/>
      <c r="H2092" s="12"/>
      <c r="I2092" s="13">
        <v>1</v>
      </c>
      <c r="J2092" s="13">
        <v>5</v>
      </c>
      <c r="K2092" s="14" t="str">
        <f>HYPERLINK("https://about.twitter.com/products/tweetdeck","TweetDeck")</f>
        <v>TweetDeck</v>
      </c>
      <c r="L2092" s="13">
        <v>171109</v>
      </c>
      <c r="M2092" s="13">
        <v>176</v>
      </c>
      <c r="N2092" s="13">
        <v>1830</v>
      </c>
      <c r="O2092" s="18" t="s">
        <v>41</v>
      </c>
      <c r="P2092" s="6">
        <v>39777.557349537034</v>
      </c>
      <c r="Q2092" s="16" t="s">
        <v>7060</v>
      </c>
      <c r="R2092" s="17" t="s">
        <v>7061</v>
      </c>
      <c r="S2092" s="11" t="s">
        <v>7062</v>
      </c>
      <c r="T2092" s="12"/>
      <c r="U2092" s="10" t="str">
        <f>HYPERLINK("https://pbs.twimg.com/profile_images/875631082082754562/s54cREIc.jpg","View")</f>
        <v>View</v>
      </c>
    </row>
    <row r="2093" spans="1:21" ht="40.799999999999997">
      <c r="A2093" s="6">
        <v>43440.777592592596</v>
      </c>
      <c r="B2093" s="7" t="str">
        <f>HYPERLINK("https://twitter.com/b_estrella","@b_estrella")</f>
        <v>@b_estrella</v>
      </c>
      <c r="C2093" s="8" t="s">
        <v>7063</v>
      </c>
      <c r="D2093" s="9" t="s">
        <v>7064</v>
      </c>
      <c r="E2093" s="10" t="str">
        <f>HYPERLINK("https://twitter.com/b_estrella/status/1070734549099913216","1070734549099913216")</f>
        <v>1070734549099913216</v>
      </c>
      <c r="F2093" s="11" t="s">
        <v>6247</v>
      </c>
      <c r="G2093" s="12"/>
      <c r="H2093" s="12"/>
      <c r="I2093" s="13">
        <v>0</v>
      </c>
      <c r="J2093" s="13">
        <v>0</v>
      </c>
      <c r="K2093" s="14" t="str">
        <f>HYPERLINK("http://twitter.com","Twitter Web Client")</f>
        <v>Twitter Web Client</v>
      </c>
      <c r="L2093" s="13">
        <v>725</v>
      </c>
      <c r="M2093" s="13">
        <v>2434</v>
      </c>
      <c r="N2093" s="13">
        <v>9</v>
      </c>
      <c r="O2093" s="15"/>
      <c r="P2093" s="6">
        <v>40760.600590277776</v>
      </c>
      <c r="Q2093" s="16" t="s">
        <v>7065</v>
      </c>
      <c r="R2093" s="17" t="s">
        <v>7066</v>
      </c>
      <c r="S2093" s="12"/>
      <c r="T2093" s="12"/>
      <c r="U2093" s="10" t="str">
        <f>HYPERLINK("https://pbs.twimg.com/profile_images/616664796507844609/Zv41DCJ8.jpg","View")</f>
        <v>View</v>
      </c>
    </row>
    <row r="2094" spans="1:21" ht="51">
      <c r="A2094" s="6">
        <v>43440.776956018519</v>
      </c>
      <c r="B2094" s="7" t="str">
        <f>HYPERLINK("https://twitter.com/elLokoOnFire","@elLokoOnFire")</f>
        <v>@elLokoOnFire</v>
      </c>
      <c r="C2094" s="8" t="s">
        <v>6026</v>
      </c>
      <c r="D2094" s="9" t="s">
        <v>6638</v>
      </c>
      <c r="E2094" s="10" t="str">
        <f>HYPERLINK("https://twitter.com/elLokoOnFire/status/1070734317440110592","1070734317440110592")</f>
        <v>1070734317440110592</v>
      </c>
      <c r="F2094" s="11" t="s">
        <v>6640</v>
      </c>
      <c r="G2094" s="12"/>
      <c r="H2094" s="12"/>
      <c r="I2094" s="13">
        <v>3</v>
      </c>
      <c r="J2094" s="13">
        <v>3</v>
      </c>
      <c r="K2094" s="14" t="str">
        <f>HYPERLINK("http://twitter.com/download/iphone","Twitter for iPhone")</f>
        <v>Twitter for iPhone</v>
      </c>
      <c r="L2094" s="13">
        <v>3214</v>
      </c>
      <c r="M2094" s="13">
        <v>2813</v>
      </c>
      <c r="N2094" s="13">
        <v>9</v>
      </c>
      <c r="O2094" s="15"/>
      <c r="P2094" s="6">
        <v>42794.544652777782</v>
      </c>
      <c r="Q2094" s="16" t="s">
        <v>6028</v>
      </c>
      <c r="R2094" s="17" t="s">
        <v>6029</v>
      </c>
      <c r="S2094" s="12"/>
      <c r="T2094" s="12"/>
      <c r="U2094" s="10" t="str">
        <f>HYPERLINK("https://pbs.twimg.com/profile_images/836569302023221250/KFiIuXuN.jpg","View")</f>
        <v>View</v>
      </c>
    </row>
    <row r="2095" spans="1:21" ht="30.6">
      <c r="A2095" s="6">
        <v>43440.776747685188</v>
      </c>
      <c r="B2095" s="7" t="str">
        <f>HYPERLINK("https://twitter.com/lbalcarce","@lbalcarce")</f>
        <v>@lbalcarce</v>
      </c>
      <c r="C2095" s="8" t="s">
        <v>7067</v>
      </c>
      <c r="D2095" s="9" t="s">
        <v>7068</v>
      </c>
      <c r="E2095" s="10" t="str">
        <f>HYPERLINK("https://twitter.com/lbalcarce/status/1070734243372896258","1070734243372896258")</f>
        <v>1070734243372896258</v>
      </c>
      <c r="F2095" s="12"/>
      <c r="G2095" s="11" t="s">
        <v>6193</v>
      </c>
      <c r="H2095" s="12"/>
      <c r="I2095" s="13">
        <v>132</v>
      </c>
      <c r="J2095" s="13">
        <v>83</v>
      </c>
      <c r="K2095" s="14" t="str">
        <f>HYPERLINK("http://twitter.com","Twitter Web Client")</f>
        <v>Twitter Web Client</v>
      </c>
      <c r="L2095" s="13">
        <v>4121</v>
      </c>
      <c r="M2095" s="13">
        <v>345</v>
      </c>
      <c r="N2095" s="13">
        <v>71</v>
      </c>
      <c r="O2095" s="15"/>
      <c r="P2095" s="6">
        <v>40016.49800925926</v>
      </c>
      <c r="Q2095" s="16" t="s">
        <v>200</v>
      </c>
      <c r="R2095" s="17" t="s">
        <v>7069</v>
      </c>
      <c r="S2095" s="11" t="s">
        <v>7070</v>
      </c>
      <c r="T2095" s="12"/>
      <c r="U2095" s="10" t="str">
        <f>HYPERLINK("https://pbs.twimg.com/profile_images/1012349216621056002/XQgD6Zey.jpg","View")</f>
        <v>View</v>
      </c>
    </row>
    <row r="2096" spans="1:21" ht="51">
      <c r="A2096" s="6">
        <v>43440.774907407409</v>
      </c>
      <c r="B2096" s="7" t="str">
        <f>HYPERLINK("https://twitter.com/1aynoplus","@1aynoplus")</f>
        <v>@1aynoplus</v>
      </c>
      <c r="C2096" s="8" t="s">
        <v>7071</v>
      </c>
      <c r="D2096" s="9" t="s">
        <v>7072</v>
      </c>
      <c r="E2096" s="10" t="str">
        <f>HYPERLINK("https://twitter.com/1aynoplus/status/1070733576440897536","1070733576440897536")</f>
        <v>1070733576440897536</v>
      </c>
      <c r="F2096" s="11" t="s">
        <v>7073</v>
      </c>
      <c r="G2096" s="12"/>
      <c r="H2096" s="12"/>
      <c r="I2096" s="13">
        <v>0</v>
      </c>
      <c r="J2096" s="13">
        <v>0</v>
      </c>
      <c r="K2096" s="14" t="str">
        <f>HYPERLINK("http://twitter.com/download/android","Twitter for Android")</f>
        <v>Twitter for Android</v>
      </c>
      <c r="L2096" s="13">
        <v>413</v>
      </c>
      <c r="M2096" s="13">
        <v>834</v>
      </c>
      <c r="N2096" s="13">
        <v>1</v>
      </c>
      <c r="O2096" s="15"/>
      <c r="P2096" s="6">
        <v>43120.550810185188</v>
      </c>
      <c r="Q2096" s="16" t="s">
        <v>7074</v>
      </c>
      <c r="R2096" s="17" t="s">
        <v>7075</v>
      </c>
      <c r="S2096" s="12"/>
      <c r="T2096" s="12"/>
      <c r="U2096" s="10" t="str">
        <f>HYPERLINK("https://pbs.twimg.com/profile_images/954813566221201409/dYuZSl1q.jpg","View")</f>
        <v>View</v>
      </c>
    </row>
    <row r="2097" spans="1:21" ht="30.6">
      <c r="A2097" s="6">
        <v>43440.774050925931</v>
      </c>
      <c r="B2097" s="7" t="str">
        <f>HYPERLINK("https://twitter.com/eslatarde","@eslatarde")</f>
        <v>@eslatarde</v>
      </c>
      <c r="C2097" s="8" t="s">
        <v>7076</v>
      </c>
      <c r="D2097" s="9" t="s">
        <v>7077</v>
      </c>
      <c r="E2097" s="10" t="str">
        <f>HYPERLINK("https://twitter.com/eslatarde/status/1070733265772912641","1070733265772912641")</f>
        <v>1070733265772912641</v>
      </c>
      <c r="F2097" s="12"/>
      <c r="G2097" s="12"/>
      <c r="H2097" s="12"/>
      <c r="I2097" s="13">
        <v>4</v>
      </c>
      <c r="J2097" s="13">
        <v>16</v>
      </c>
      <c r="K2097" s="14" t="str">
        <f>HYPERLINK("http://twitter.com","Twitter Web Client")</f>
        <v>Twitter Web Client</v>
      </c>
      <c r="L2097" s="13">
        <v>22059</v>
      </c>
      <c r="M2097" s="13">
        <v>1193</v>
      </c>
      <c r="N2097" s="13">
        <v>183</v>
      </c>
      <c r="O2097" s="18" t="s">
        <v>41</v>
      </c>
      <c r="P2097" s="6">
        <v>41487.700925925928</v>
      </c>
      <c r="Q2097" s="12"/>
      <c r="R2097" s="17" t="s">
        <v>7078</v>
      </c>
      <c r="S2097" s="11" t="s">
        <v>7079</v>
      </c>
      <c r="T2097" s="12"/>
      <c r="U2097" s="10" t="str">
        <f>HYPERLINK("https://pbs.twimg.com/profile_images/430657794740457472/J8u4e-W3.jpeg","View")</f>
        <v>View</v>
      </c>
    </row>
    <row r="2098" spans="1:21" ht="40.799999999999997">
      <c r="A2098" s="6">
        <v>43440.773206018523</v>
      </c>
      <c r="B2098" s="7" t="str">
        <f>HYPERLINK("https://twitter.com/Eliana_Ctes","@Eliana_Ctes")</f>
        <v>@Eliana_Ctes</v>
      </c>
      <c r="C2098" s="8" t="s">
        <v>7080</v>
      </c>
      <c r="D2098" s="9" t="s">
        <v>7081</v>
      </c>
      <c r="E2098" s="10" t="str">
        <f>HYPERLINK("https://twitter.com/Eliana_Ctes/status/1070732961203376128","1070732961203376128")</f>
        <v>1070732961203376128</v>
      </c>
      <c r="F2098" s="12"/>
      <c r="G2098" s="12"/>
      <c r="H2098" s="12"/>
      <c r="I2098" s="13">
        <v>0</v>
      </c>
      <c r="J2098" s="13">
        <v>1</v>
      </c>
      <c r="K2098" s="14" t="str">
        <f t="shared" ref="K2098:K2099" si="372">HYPERLINK("http://twitter.com/download/android","Twitter for Android")</f>
        <v>Twitter for Android</v>
      </c>
      <c r="L2098" s="13">
        <v>6004</v>
      </c>
      <c r="M2098" s="13">
        <v>3392</v>
      </c>
      <c r="N2098" s="13">
        <v>135</v>
      </c>
      <c r="O2098" s="15"/>
      <c r="P2098" s="6">
        <v>40348.18377314815</v>
      </c>
      <c r="Q2098" s="16" t="s">
        <v>7082</v>
      </c>
      <c r="R2098" s="17" t="s">
        <v>7083</v>
      </c>
      <c r="S2098" s="12"/>
      <c r="T2098" s="12"/>
      <c r="U2098" s="10" t="str">
        <f>HYPERLINK("https://pbs.twimg.com/profile_images/420366715923341312/Mpk6qmML.jpeg","View")</f>
        <v>View</v>
      </c>
    </row>
    <row r="2099" spans="1:21" ht="30.6">
      <c r="A2099" s="6">
        <v>43440.772685185184</v>
      </c>
      <c r="B2099" s="7" t="str">
        <f>HYPERLINK("https://twitter.com/Taboodelaney","@Taboodelaney")</f>
        <v>@Taboodelaney</v>
      </c>
      <c r="C2099" s="8" t="s">
        <v>773</v>
      </c>
      <c r="D2099" s="9" t="s">
        <v>7084</v>
      </c>
      <c r="E2099" s="10" t="str">
        <f>HYPERLINK("https://twitter.com/Taboodelaney/status/1070732770152996871","1070732770152996871")</f>
        <v>1070732770152996871</v>
      </c>
      <c r="F2099" s="11" t="s">
        <v>4628</v>
      </c>
      <c r="G2099" s="12"/>
      <c r="H2099" s="12"/>
      <c r="I2099" s="13">
        <v>6</v>
      </c>
      <c r="J2099" s="13">
        <v>6</v>
      </c>
      <c r="K2099" s="14" t="str">
        <f t="shared" si="372"/>
        <v>Twitter for Android</v>
      </c>
      <c r="L2099" s="13">
        <v>1179</v>
      </c>
      <c r="M2099" s="13">
        <v>1050</v>
      </c>
      <c r="N2099" s="13">
        <v>2</v>
      </c>
      <c r="O2099" s="15"/>
      <c r="P2099" s="6">
        <v>43252.734421296293</v>
      </c>
      <c r="Q2099" s="12"/>
      <c r="R2099" s="17" t="s">
        <v>775</v>
      </c>
      <c r="S2099" s="12"/>
      <c r="T2099" s="12"/>
      <c r="U2099" s="10" t="str">
        <f>HYPERLINK("https://pbs.twimg.com/profile_images/1054075081960382466/6n7kVrx9.jpg","View")</f>
        <v>View</v>
      </c>
    </row>
    <row r="2100" spans="1:21" ht="40.799999999999997">
      <c r="A2100" s="6">
        <v>43440.770891203705</v>
      </c>
      <c r="B2100" s="7" t="str">
        <f>HYPERLINK("https://twitter.com/philidor38","@philidor38")</f>
        <v>@philidor38</v>
      </c>
      <c r="C2100" s="8" t="s">
        <v>7085</v>
      </c>
      <c r="D2100" s="9" t="s">
        <v>7086</v>
      </c>
      <c r="E2100" s="10" t="str">
        <f>HYPERLINK("https://twitter.com/philidor38/status/1070732121566781440","1070732121566781440")</f>
        <v>1070732121566781440</v>
      </c>
      <c r="F2100" s="16" t="s">
        <v>7087</v>
      </c>
      <c r="G2100" s="12"/>
      <c r="H2100" s="12"/>
      <c r="I2100" s="13">
        <v>0</v>
      </c>
      <c r="J2100" s="13">
        <v>4</v>
      </c>
      <c r="K2100" s="14" t="str">
        <f>HYPERLINK("http://twitter.com","Twitter Web Client")</f>
        <v>Twitter Web Client</v>
      </c>
      <c r="L2100" s="13">
        <v>1041</v>
      </c>
      <c r="M2100" s="13">
        <v>772</v>
      </c>
      <c r="N2100" s="13">
        <v>4</v>
      </c>
      <c r="O2100" s="15"/>
      <c r="P2100" s="6">
        <v>41882.968900462962</v>
      </c>
      <c r="Q2100" s="12"/>
      <c r="R2100" s="17" t="s">
        <v>7088</v>
      </c>
      <c r="S2100" s="11" t="s">
        <v>7089</v>
      </c>
      <c r="T2100" s="12"/>
      <c r="U2100" s="10" t="str">
        <f>HYPERLINK("https://pbs.twimg.com/profile_images/1061308076928745473/Pn8N4HWB.jpg","View")</f>
        <v>View</v>
      </c>
    </row>
    <row r="2101" spans="1:21" ht="61.2">
      <c r="A2101" s="6">
        <v>43440.770810185189</v>
      </c>
      <c r="B2101" s="7" t="str">
        <f>HYPERLINK("https://twitter.com/anabeldn","@anabeldn")</f>
        <v>@anabeldn</v>
      </c>
      <c r="C2101" s="8" t="s">
        <v>7090</v>
      </c>
      <c r="D2101" s="9" t="s">
        <v>7091</v>
      </c>
      <c r="E2101" s="10" t="str">
        <f>HYPERLINK("https://twitter.com/anabeldn/status/1070732092064051201","1070732092064051201")</f>
        <v>1070732092064051201</v>
      </c>
      <c r="F2101" s="11" t="s">
        <v>7092</v>
      </c>
      <c r="G2101" s="12"/>
      <c r="H2101" s="12"/>
      <c r="I2101" s="13">
        <v>9</v>
      </c>
      <c r="J2101" s="13">
        <v>17</v>
      </c>
      <c r="K2101" s="14" t="str">
        <f>HYPERLINK("http://twitter.com/download/android","Twitter for Android")</f>
        <v>Twitter for Android</v>
      </c>
      <c r="L2101" s="13">
        <v>39373</v>
      </c>
      <c r="M2101" s="13">
        <v>596</v>
      </c>
      <c r="N2101" s="13">
        <v>1097</v>
      </c>
      <c r="O2101" s="15"/>
      <c r="P2101" s="6">
        <v>40822.780856481484</v>
      </c>
      <c r="Q2101" s="16" t="s">
        <v>200</v>
      </c>
      <c r="R2101" s="17" t="s">
        <v>7093</v>
      </c>
      <c r="S2101" s="12"/>
      <c r="T2101" s="12"/>
      <c r="U2101" s="10" t="str">
        <f>HYPERLINK("https://pbs.twimg.com/profile_images/1577062416/recorte-twitter.jpg","View")</f>
        <v>View</v>
      </c>
    </row>
    <row r="2102" spans="1:21" ht="30.6">
      <c r="A2102" s="6">
        <v>43440.769606481481</v>
      </c>
      <c r="B2102" s="7" t="str">
        <f>HYPERLINK("https://twitter.com/danicorderom","@danicorderom")</f>
        <v>@danicorderom</v>
      </c>
      <c r="C2102" s="8" t="s">
        <v>7094</v>
      </c>
      <c r="D2102" s="9" t="s">
        <v>7095</v>
      </c>
      <c r="E2102" s="10" t="str">
        <f>HYPERLINK("https://twitter.com/danicorderom/status/1070731655852290048","1070731655852290048")</f>
        <v>1070731655852290048</v>
      </c>
      <c r="F2102" s="12"/>
      <c r="G2102" s="11" t="s">
        <v>7096</v>
      </c>
      <c r="H2102" s="12"/>
      <c r="I2102" s="13">
        <v>3</v>
      </c>
      <c r="J2102" s="13">
        <v>5</v>
      </c>
      <c r="K2102" s="14" t="str">
        <f>HYPERLINK("http://twitter.com/download/iphone","Twitter for iPhone")</f>
        <v>Twitter for iPhone</v>
      </c>
      <c r="L2102" s="13">
        <v>5670</v>
      </c>
      <c r="M2102" s="13">
        <v>4487</v>
      </c>
      <c r="N2102" s="13">
        <v>71</v>
      </c>
      <c r="O2102" s="15"/>
      <c r="P2102" s="6">
        <v>40615.912962962961</v>
      </c>
      <c r="Q2102" s="16" t="s">
        <v>7097</v>
      </c>
      <c r="R2102" s="17" t="s">
        <v>7098</v>
      </c>
      <c r="S2102" s="11" t="s">
        <v>7099</v>
      </c>
      <c r="T2102" s="12"/>
      <c r="U2102" s="10" t="str">
        <f>HYPERLINK("https://pbs.twimg.com/profile_images/1053967447550803968/7dE_vKmN.jpg","View")</f>
        <v>View</v>
      </c>
    </row>
    <row r="2103" spans="1:21" ht="51">
      <c r="A2103" s="6">
        <v>43440.765532407408</v>
      </c>
      <c r="B2103" s="7" t="str">
        <f>HYPERLINK("https://twitter.com/Pedro_M_Serrano","@Pedro_M_Serrano")</f>
        <v>@Pedro_M_Serrano</v>
      </c>
      <c r="C2103" s="8" t="s">
        <v>7100</v>
      </c>
      <c r="D2103" s="9" t="s">
        <v>7101</v>
      </c>
      <c r="E2103" s="10" t="str">
        <f>HYPERLINK("https://twitter.com/Pedro_M_Serrano/status/1070730177813061632","1070730177813061632")</f>
        <v>1070730177813061632</v>
      </c>
      <c r="F2103" s="12"/>
      <c r="G2103" s="12"/>
      <c r="H2103" s="12"/>
      <c r="I2103" s="13">
        <v>0</v>
      </c>
      <c r="J2103" s="13">
        <v>2</v>
      </c>
      <c r="K2103" s="14" t="str">
        <f>HYPERLINK("http://www.facebook.com/twitter","Facebook")</f>
        <v>Facebook</v>
      </c>
      <c r="L2103" s="13">
        <v>655</v>
      </c>
      <c r="M2103" s="13">
        <v>1514</v>
      </c>
      <c r="N2103" s="13">
        <v>7</v>
      </c>
      <c r="O2103" s="15"/>
      <c r="P2103" s="6">
        <v>40213.096296296295</v>
      </c>
      <c r="Q2103" s="12"/>
      <c r="R2103" s="19"/>
      <c r="S2103" s="12"/>
      <c r="T2103" s="12"/>
      <c r="U2103" s="10" t="str">
        <f>HYPERLINK("https://pbs.twimg.com/profile_images/705932849854095360/EbAgnLFv.jpg","View")</f>
        <v>View</v>
      </c>
    </row>
    <row r="2104" spans="1:21" ht="20.399999999999999">
      <c r="A2104" s="6">
        <v>43440.763067129628</v>
      </c>
      <c r="B2104" s="7" t="str">
        <f>HYPERLINK("https://twitter.com/JuanCascon1","@JuanCascon1")</f>
        <v>@JuanCascon1</v>
      </c>
      <c r="C2104" s="8" t="s">
        <v>7102</v>
      </c>
      <c r="D2104" s="9" t="s">
        <v>6135</v>
      </c>
      <c r="E2104" s="10" t="str">
        <f>HYPERLINK("https://twitter.com/JuanCascon1/status/1070729287391694850","1070729287391694850")</f>
        <v>1070729287391694850</v>
      </c>
      <c r="F2104" s="11" t="s">
        <v>7103</v>
      </c>
      <c r="G2104" s="12"/>
      <c r="H2104" s="12"/>
      <c r="I2104" s="13">
        <v>0</v>
      </c>
      <c r="J2104" s="13">
        <v>0</v>
      </c>
      <c r="K2104" s="14" t="str">
        <f>HYPERLINK("http://twitter.com","Twitter Web Client")</f>
        <v>Twitter Web Client</v>
      </c>
      <c r="L2104" s="13">
        <v>103</v>
      </c>
      <c r="M2104" s="13">
        <v>400</v>
      </c>
      <c r="N2104" s="13">
        <v>11</v>
      </c>
      <c r="O2104" s="15"/>
      <c r="P2104" s="6">
        <v>41724.38585648148</v>
      </c>
      <c r="Q2104" s="16" t="s">
        <v>519</v>
      </c>
      <c r="R2104" s="17" t="s">
        <v>7104</v>
      </c>
      <c r="S2104" s="12"/>
      <c r="T2104" s="12"/>
      <c r="U2104" s="10" t="str">
        <f>HYPERLINK("https://pbs.twimg.com/profile_images/894690420424355840/69Ili_D-.jpg","View")</f>
        <v>View</v>
      </c>
    </row>
    <row r="2105" spans="1:21" ht="30.6">
      <c r="A2105" s="6">
        <v>43440.760451388887</v>
      </c>
      <c r="B2105" s="7" t="str">
        <f>HYPERLINK("https://twitter.com/enpaiszeta","@enpaiszeta")</f>
        <v>@enpaiszeta</v>
      </c>
      <c r="C2105" s="8" t="s">
        <v>5797</v>
      </c>
      <c r="D2105" s="9" t="s">
        <v>5798</v>
      </c>
      <c r="E2105" s="10" t="str">
        <f>HYPERLINK("https://twitter.com/enpaiszeta/status/1070728338841448448","1070728338841448448")</f>
        <v>1070728338841448448</v>
      </c>
      <c r="F2105" s="11" t="s">
        <v>5799</v>
      </c>
      <c r="G2105" s="11" t="s">
        <v>6659</v>
      </c>
      <c r="H2105" s="12"/>
      <c r="I2105" s="13">
        <v>9</v>
      </c>
      <c r="J2105" s="13">
        <v>2</v>
      </c>
      <c r="K2105" s="14" t="str">
        <f>HYPERLINK("https://www.socialgest.net","SocialGest")</f>
        <v>SocialGest</v>
      </c>
      <c r="L2105" s="13">
        <v>195618</v>
      </c>
      <c r="M2105" s="13">
        <v>1590</v>
      </c>
      <c r="N2105" s="13">
        <v>1043</v>
      </c>
      <c r="O2105" s="15"/>
      <c r="P2105" s="6">
        <v>40377.917337962965</v>
      </c>
      <c r="Q2105" s="16" t="s">
        <v>5801</v>
      </c>
      <c r="R2105" s="17" t="s">
        <v>5802</v>
      </c>
      <c r="S2105" s="11" t="s">
        <v>5803</v>
      </c>
      <c r="T2105" s="12"/>
      <c r="U2105" s="10" t="str">
        <f>HYPERLINK("https://pbs.twimg.com/profile_images/986324076628193280/tIK_X8wZ.jpg","View")</f>
        <v>View</v>
      </c>
    </row>
    <row r="2106" spans="1:21" ht="30.6">
      <c r="A2106" s="6">
        <v>43440.759687500002</v>
      </c>
      <c r="B2106" s="7" t="str">
        <f>HYPERLINK("https://twitter.com/RafaDuarteG","@RafaDuarteG")</f>
        <v>@RafaDuarteG</v>
      </c>
      <c r="C2106" s="8" t="s">
        <v>7105</v>
      </c>
      <c r="D2106" s="9" t="s">
        <v>7106</v>
      </c>
      <c r="E2106" s="10" t="str">
        <f>HYPERLINK("https://twitter.com/RafaDuarteG/status/1070728062231285761","1070728062231285761")</f>
        <v>1070728062231285761</v>
      </c>
      <c r="F2106" s="11" t="s">
        <v>2214</v>
      </c>
      <c r="G2106" s="12"/>
      <c r="H2106" s="12"/>
      <c r="I2106" s="13">
        <v>0</v>
      </c>
      <c r="J2106" s="13">
        <v>0</v>
      </c>
      <c r="K2106" s="14" t="str">
        <f>HYPERLINK("http://twitter.com/download/iphone","Twitter for iPhone")</f>
        <v>Twitter for iPhone</v>
      </c>
      <c r="L2106" s="13">
        <v>270</v>
      </c>
      <c r="M2106" s="13">
        <v>445</v>
      </c>
      <c r="N2106" s="13">
        <v>2</v>
      </c>
      <c r="O2106" s="15"/>
      <c r="P2106" s="6">
        <v>41161.496805555558</v>
      </c>
      <c r="Q2106" s="16" t="s">
        <v>119</v>
      </c>
      <c r="R2106" s="17" t="s">
        <v>7107</v>
      </c>
      <c r="S2106" s="12"/>
      <c r="T2106" s="12"/>
      <c r="U2106" s="10" t="str">
        <f>HYPERLINK("https://pbs.twimg.com/profile_images/786930803519422464/4XsKD0W-.jpg","View")</f>
        <v>View</v>
      </c>
    </row>
    <row r="2107" spans="1:21" ht="20.399999999999999">
      <c r="A2107" s="6">
        <v>43440.758900462963</v>
      </c>
      <c r="B2107" s="7" t="str">
        <f>HYPERLINK("https://twitter.com/riki712","@riki712")</f>
        <v>@riki712</v>
      </c>
      <c r="C2107" s="8" t="s">
        <v>7108</v>
      </c>
      <c r="D2107" s="9" t="s">
        <v>7109</v>
      </c>
      <c r="E2107" s="10" t="str">
        <f>HYPERLINK("https://twitter.com/riki712/status/1070727777106755585","1070727777106755585")</f>
        <v>1070727777106755585</v>
      </c>
      <c r="F2107" s="11" t="s">
        <v>7110</v>
      </c>
      <c r="G2107" s="12"/>
      <c r="H2107" s="12"/>
      <c r="I2107" s="13">
        <v>29</v>
      </c>
      <c r="J2107" s="13">
        <v>64</v>
      </c>
      <c r="K2107" s="14" t="str">
        <f>HYPERLINK("https://mobile.twitter.com","Twitter Lite")</f>
        <v>Twitter Lite</v>
      </c>
      <c r="L2107" s="13">
        <v>178</v>
      </c>
      <c r="M2107" s="13">
        <v>470</v>
      </c>
      <c r="N2107" s="13">
        <v>3</v>
      </c>
      <c r="O2107" s="15"/>
      <c r="P2107" s="6">
        <v>40690.568506944444</v>
      </c>
      <c r="Q2107" s="16" t="s">
        <v>200</v>
      </c>
      <c r="R2107" s="17" t="s">
        <v>7111</v>
      </c>
      <c r="S2107" s="12"/>
      <c r="T2107" s="12"/>
      <c r="U2107" s="10" t="str">
        <f>HYPERLINK("https://pbs.twimg.com/profile_images/909477168606007298/lTMXplN5.jpg","View")</f>
        <v>View</v>
      </c>
    </row>
    <row r="2108" spans="1:21" ht="40.799999999999997">
      <c r="A2108" s="6">
        <v>43440.758275462962</v>
      </c>
      <c r="B2108" s="7" t="str">
        <f>HYPERLINK("https://twitter.com/elLokoOnFire","@elLokoOnFire")</f>
        <v>@elLokoOnFire</v>
      </c>
      <c r="C2108" s="8" t="s">
        <v>6026</v>
      </c>
      <c r="D2108" s="9" t="s">
        <v>7112</v>
      </c>
      <c r="E2108" s="10" t="str">
        <f>HYPERLINK("https://twitter.com/elLokoOnFire/status/1070727548663971842","1070727548663971842")</f>
        <v>1070727548663971842</v>
      </c>
      <c r="F2108" s="11" t="s">
        <v>7113</v>
      </c>
      <c r="G2108" s="12"/>
      <c r="H2108" s="12"/>
      <c r="I2108" s="13">
        <v>0</v>
      </c>
      <c r="J2108" s="13">
        <v>0</v>
      </c>
      <c r="K2108" s="14" t="str">
        <f>HYPERLINK("http://twitter.com/download/iphone","Twitter for iPhone")</f>
        <v>Twitter for iPhone</v>
      </c>
      <c r="L2108" s="13">
        <v>3214</v>
      </c>
      <c r="M2108" s="13">
        <v>2813</v>
      </c>
      <c r="N2108" s="13">
        <v>9</v>
      </c>
      <c r="O2108" s="15"/>
      <c r="P2108" s="6">
        <v>42794.544652777782</v>
      </c>
      <c r="Q2108" s="16" t="s">
        <v>6028</v>
      </c>
      <c r="R2108" s="17" t="s">
        <v>6029</v>
      </c>
      <c r="S2108" s="12"/>
      <c r="T2108" s="12"/>
      <c r="U2108" s="10" t="str">
        <f>HYPERLINK("https://pbs.twimg.com/profile_images/836569302023221250/KFiIuXuN.jpg","View")</f>
        <v>View</v>
      </c>
    </row>
    <row r="2109" spans="1:21" ht="40.799999999999997">
      <c r="A2109" s="6">
        <v>43440.758263888885</v>
      </c>
      <c r="B2109" s="7" t="str">
        <f>HYPERLINK("https://twitter.com/Sanfermin00","@Sanfermin00")</f>
        <v>@Sanfermin00</v>
      </c>
      <c r="C2109" s="8" t="s">
        <v>3942</v>
      </c>
      <c r="D2109" s="9" t="s">
        <v>7114</v>
      </c>
      <c r="E2109" s="10" t="str">
        <f>HYPERLINK("https://twitter.com/Sanfermin00/status/1070727545581121536","1070727545581121536")</f>
        <v>1070727545581121536</v>
      </c>
      <c r="F2109" s="11" t="s">
        <v>7115</v>
      </c>
      <c r="G2109" s="12"/>
      <c r="H2109" s="12"/>
      <c r="I2109" s="13">
        <v>1</v>
      </c>
      <c r="J2109" s="13">
        <v>1</v>
      </c>
      <c r="K2109" s="14" t="str">
        <f t="shared" ref="K2109:K2113" si="373">HYPERLINK("http://twitter.com","Twitter Web Client")</f>
        <v>Twitter Web Client</v>
      </c>
      <c r="L2109" s="13">
        <v>16528</v>
      </c>
      <c r="M2109" s="13">
        <v>13714</v>
      </c>
      <c r="N2109" s="13">
        <v>122</v>
      </c>
      <c r="O2109" s="15"/>
      <c r="P2109" s="6">
        <v>42362.637083333335</v>
      </c>
      <c r="Q2109" s="16" t="s">
        <v>3945</v>
      </c>
      <c r="R2109" s="17" t="s">
        <v>3946</v>
      </c>
      <c r="S2109" s="11" t="s">
        <v>3947</v>
      </c>
      <c r="T2109" s="12"/>
      <c r="U2109" s="10" t="str">
        <f>HYPERLINK("https://pbs.twimg.com/profile_images/1064102923624480768/j11dV2-u.jpg","View")</f>
        <v>View</v>
      </c>
    </row>
    <row r="2110" spans="1:21" ht="20.399999999999999">
      <c r="A2110" s="6">
        <v>43440.756747685184</v>
      </c>
      <c r="B2110" s="7" t="str">
        <f>HYPERLINK("https://twitter.com/Belda1954","@Belda1954")</f>
        <v>@Belda1954</v>
      </c>
      <c r="C2110" s="8" t="s">
        <v>3325</v>
      </c>
      <c r="D2110" s="9" t="s">
        <v>6135</v>
      </c>
      <c r="E2110" s="10" t="str">
        <f>HYPERLINK("https://twitter.com/Belda1954/status/1070726993988255744","1070726993988255744")</f>
        <v>1070726993988255744</v>
      </c>
      <c r="F2110" s="11" t="s">
        <v>6136</v>
      </c>
      <c r="G2110" s="12"/>
      <c r="H2110" s="12"/>
      <c r="I2110" s="13">
        <v>0</v>
      </c>
      <c r="J2110" s="13">
        <v>0</v>
      </c>
      <c r="K2110" s="14" t="str">
        <f t="shared" si="373"/>
        <v>Twitter Web Client</v>
      </c>
      <c r="L2110" s="13">
        <v>340</v>
      </c>
      <c r="M2110" s="13">
        <v>1035</v>
      </c>
      <c r="N2110" s="13">
        <v>7</v>
      </c>
      <c r="O2110" s="15"/>
      <c r="P2110" s="6">
        <v>40445.780740740738</v>
      </c>
      <c r="Q2110" s="16" t="s">
        <v>60</v>
      </c>
      <c r="R2110" s="17" t="s">
        <v>3326</v>
      </c>
      <c r="S2110" s="12"/>
      <c r="T2110" s="12"/>
      <c r="U2110" s="10" t="str">
        <f>HYPERLINK("https://pbs.twimg.com/profile_images/760042410126737408/0vT_CbAN.jpg","View")</f>
        <v>View</v>
      </c>
    </row>
    <row r="2111" spans="1:21" ht="40.799999999999997">
      <c r="A2111" s="6">
        <v>43440.756111111114</v>
      </c>
      <c r="B2111" s="7" t="str">
        <f>HYPERLINK("https://twitter.com/RafaelRossello","@RafaelRossello")</f>
        <v>@RafaelRossello</v>
      </c>
      <c r="C2111" s="8" t="s">
        <v>7117</v>
      </c>
      <c r="D2111" s="9" t="s">
        <v>7118</v>
      </c>
      <c r="E2111" s="10" t="str">
        <f>HYPERLINK("https://twitter.com/RafaelRossello/status/1070726766707253255","1070726766707253255")</f>
        <v>1070726766707253255</v>
      </c>
      <c r="F2111" s="11" t="s">
        <v>7119</v>
      </c>
      <c r="G2111" s="12"/>
      <c r="H2111" s="12"/>
      <c r="I2111" s="13">
        <v>0</v>
      </c>
      <c r="J2111" s="13">
        <v>0</v>
      </c>
      <c r="K2111" s="14" t="str">
        <f t="shared" si="373"/>
        <v>Twitter Web Client</v>
      </c>
      <c r="L2111" s="13">
        <v>2064</v>
      </c>
      <c r="M2111" s="13">
        <v>3451</v>
      </c>
      <c r="N2111" s="13">
        <v>77</v>
      </c>
      <c r="O2111" s="15"/>
      <c r="P2111" s="6">
        <v>40587.293854166666</v>
      </c>
      <c r="Q2111" s="16" t="s">
        <v>7120</v>
      </c>
      <c r="R2111" s="17" t="s">
        <v>7121</v>
      </c>
      <c r="S2111" s="11" t="s">
        <v>7122</v>
      </c>
      <c r="T2111" s="12"/>
      <c r="U2111" s="10" t="str">
        <f>HYPERLINK("https://pbs.twimg.com/profile_images/1033041698203611142/1Cp-88DS.jpg","View")</f>
        <v>View</v>
      </c>
    </row>
    <row r="2112" spans="1:21" ht="20.399999999999999">
      <c r="A2112" s="6">
        <v>43440.755381944444</v>
      </c>
      <c r="B2112" s="7" t="str">
        <f>HYPERLINK("https://twitter.com/Belda1954","@Belda1954")</f>
        <v>@Belda1954</v>
      </c>
      <c r="C2112" s="8" t="s">
        <v>3325</v>
      </c>
      <c r="D2112" s="9" t="s">
        <v>5418</v>
      </c>
      <c r="E2112" s="10" t="str">
        <f>HYPERLINK("https://twitter.com/Belda1954/status/1070726500972937231","1070726500972937231")</f>
        <v>1070726500972937231</v>
      </c>
      <c r="F2112" s="11" t="s">
        <v>5419</v>
      </c>
      <c r="G2112" s="12"/>
      <c r="H2112" s="12"/>
      <c r="I2112" s="13">
        <v>0</v>
      </c>
      <c r="J2112" s="13">
        <v>0</v>
      </c>
      <c r="K2112" s="14" t="str">
        <f t="shared" si="373"/>
        <v>Twitter Web Client</v>
      </c>
      <c r="L2112" s="13">
        <v>340</v>
      </c>
      <c r="M2112" s="13">
        <v>1035</v>
      </c>
      <c r="N2112" s="13">
        <v>7</v>
      </c>
      <c r="O2112" s="15"/>
      <c r="P2112" s="6">
        <v>40445.780740740738</v>
      </c>
      <c r="Q2112" s="16" t="s">
        <v>60</v>
      </c>
      <c r="R2112" s="17" t="s">
        <v>3326</v>
      </c>
      <c r="S2112" s="12"/>
      <c r="T2112" s="12"/>
      <c r="U2112" s="10" t="str">
        <f>HYPERLINK("https://pbs.twimg.com/profile_images/760042410126737408/0vT_CbAN.jpg","View")</f>
        <v>View</v>
      </c>
    </row>
    <row r="2113" spans="1:21" ht="40.799999999999997">
      <c r="A2113" s="6">
        <v>43440.755127314813</v>
      </c>
      <c r="B2113" s="7" t="str">
        <f>HYPERLINK("https://twitter.com/agrnineta","@agrnineta")</f>
        <v>@agrnineta</v>
      </c>
      <c r="C2113" s="8" t="s">
        <v>4613</v>
      </c>
      <c r="D2113" s="9" t="s">
        <v>6585</v>
      </c>
      <c r="E2113" s="10" t="str">
        <f>HYPERLINK("https://twitter.com/agrnineta/status/1070726406362071040","1070726406362071040")</f>
        <v>1070726406362071040</v>
      </c>
      <c r="F2113" s="11" t="s">
        <v>7123</v>
      </c>
      <c r="G2113" s="12"/>
      <c r="H2113" s="12"/>
      <c r="I2113" s="13">
        <v>0</v>
      </c>
      <c r="J2113" s="13">
        <v>0</v>
      </c>
      <c r="K2113" s="14" t="str">
        <f t="shared" si="373"/>
        <v>Twitter Web Client</v>
      </c>
      <c r="L2113" s="13">
        <v>801</v>
      </c>
      <c r="M2113" s="13">
        <v>1829</v>
      </c>
      <c r="N2113" s="13">
        <v>27</v>
      </c>
      <c r="O2113" s="15"/>
      <c r="P2113" s="6">
        <v>40109.915231481486</v>
      </c>
      <c r="Q2113" s="12"/>
      <c r="R2113" s="17" t="s">
        <v>4615</v>
      </c>
      <c r="S2113" s="11" t="s">
        <v>4616</v>
      </c>
      <c r="T2113" s="12"/>
      <c r="U2113" s="10" t="str">
        <f>HYPERLINK("https://pbs.twimg.com/profile_images/855874546439684097/VYpF_Syb.jpg","View")</f>
        <v>View</v>
      </c>
    </row>
    <row r="2114" spans="1:21" ht="20.399999999999999">
      <c r="A2114" s="6">
        <v>43440.754699074074</v>
      </c>
      <c r="B2114" s="7" t="str">
        <f>HYPERLINK("https://twitter.com/ElTiroIndirecto","@ElTiroIndirecto")</f>
        <v>@ElTiroIndirecto</v>
      </c>
      <c r="C2114" s="8" t="s">
        <v>7124</v>
      </c>
      <c r="D2114" s="9" t="s">
        <v>7125</v>
      </c>
      <c r="E2114" s="10" t="str">
        <f>HYPERLINK("https://twitter.com/ElTiroIndirecto/status/1070726254771478529","1070726254771478529")</f>
        <v>1070726254771478529</v>
      </c>
      <c r="F2114" s="11" t="s">
        <v>7126</v>
      </c>
      <c r="G2114" s="12"/>
      <c r="H2114" s="12"/>
      <c r="I2114" s="13">
        <v>0</v>
      </c>
      <c r="J2114" s="13">
        <v>0</v>
      </c>
      <c r="K2114" s="14" t="str">
        <f>HYPERLINK("https://about.twitter.com/products/tweetdeck","TweetDeck")</f>
        <v>TweetDeck</v>
      </c>
      <c r="L2114" s="13">
        <v>1625</v>
      </c>
      <c r="M2114" s="13">
        <v>0</v>
      </c>
      <c r="N2114" s="13">
        <v>1</v>
      </c>
      <c r="O2114" s="15"/>
      <c r="P2114" s="6">
        <v>42816.903749999998</v>
      </c>
      <c r="Q2114" s="12"/>
      <c r="R2114" s="19"/>
      <c r="S2114" s="12"/>
      <c r="T2114" s="12"/>
      <c r="U2114" s="10" t="str">
        <f>HYPERLINK("https://pbs.twimg.com/profile_images/1070361838947323904/Fky0K8JT.jpg","View")</f>
        <v>View</v>
      </c>
    </row>
    <row r="2115" spans="1:21" ht="40.799999999999997">
      <c r="A2115" s="6">
        <v>43440.754386574074</v>
      </c>
      <c r="B2115" s="7" t="str">
        <f>HYPERLINK("https://twitter.com/manuellopezgil1","@manuellopezgil1")</f>
        <v>@manuellopezgil1</v>
      </c>
      <c r="C2115" s="8" t="s">
        <v>7127</v>
      </c>
      <c r="D2115" s="9" t="s">
        <v>7128</v>
      </c>
      <c r="E2115" s="10" t="str">
        <f>HYPERLINK("https://twitter.com/manuellopezgil1/status/1070726138018873345","1070726138018873345")</f>
        <v>1070726138018873345</v>
      </c>
      <c r="F2115" s="12"/>
      <c r="G2115" s="11" t="s">
        <v>7129</v>
      </c>
      <c r="H2115" s="12"/>
      <c r="I2115" s="13">
        <v>0</v>
      </c>
      <c r="J2115" s="13">
        <v>0</v>
      </c>
      <c r="K2115" s="14" t="str">
        <f t="shared" ref="K2115:K2116" si="374">HYPERLINK("http://twitter.com/download/iphone","Twitter for iPhone")</f>
        <v>Twitter for iPhone</v>
      </c>
      <c r="L2115" s="13">
        <v>20</v>
      </c>
      <c r="M2115" s="13">
        <v>108</v>
      </c>
      <c r="N2115" s="13">
        <v>0</v>
      </c>
      <c r="O2115" s="15"/>
      <c r="P2115" s="6">
        <v>41590.433923611112</v>
      </c>
      <c r="Q2115" s="12"/>
      <c r="R2115" s="19"/>
      <c r="S2115" s="12"/>
      <c r="T2115" s="12"/>
      <c r="U2115" s="10" t="str">
        <f>HYPERLINK("https://pbs.twimg.com/profile_images/866254200052883462/slpAUfbT.jpg","View")</f>
        <v>View</v>
      </c>
    </row>
    <row r="2116" spans="1:21" ht="40.799999999999997">
      <c r="A2116" s="6">
        <v>43440.753668981481</v>
      </c>
      <c r="B2116" s="7" t="str">
        <f>HYPERLINK("https://twitter.com/felipe_sasur","@felipe_sasur")</f>
        <v>@felipe_sasur</v>
      </c>
      <c r="C2116" s="8" t="s">
        <v>7130</v>
      </c>
      <c r="D2116" s="9" t="s">
        <v>7131</v>
      </c>
      <c r="E2116" s="10" t="str">
        <f>HYPERLINK("https://twitter.com/felipe_sasur/status/1070725878169169920","1070725878169169920")</f>
        <v>1070725878169169920</v>
      </c>
      <c r="F2116" s="11" t="s">
        <v>7132</v>
      </c>
      <c r="G2116" s="12"/>
      <c r="H2116" s="12"/>
      <c r="I2116" s="13">
        <v>0</v>
      </c>
      <c r="J2116" s="13">
        <v>0</v>
      </c>
      <c r="K2116" s="14" t="str">
        <f t="shared" si="374"/>
        <v>Twitter for iPhone</v>
      </c>
      <c r="L2116" s="13">
        <v>228</v>
      </c>
      <c r="M2116" s="13">
        <v>239</v>
      </c>
      <c r="N2116" s="13">
        <v>3</v>
      </c>
      <c r="O2116" s="15"/>
      <c r="P2116" s="6">
        <v>42933.749548611115</v>
      </c>
      <c r="Q2116" s="12"/>
      <c r="R2116" s="19"/>
      <c r="S2116" s="12"/>
      <c r="T2116" s="12"/>
      <c r="U2116" s="18" t="s">
        <v>67</v>
      </c>
    </row>
    <row r="2117" spans="1:21" ht="20.399999999999999">
      <c r="A2117" s="6">
        <v>43440.753472222219</v>
      </c>
      <c r="B2117" s="7" t="str">
        <f>HYPERLINK("https://twitter.com/eldiarioes","@eldiarioes")</f>
        <v>@eldiarioes</v>
      </c>
      <c r="C2117" s="20" t="s">
        <v>642</v>
      </c>
      <c r="D2117" s="9" t="s">
        <v>6089</v>
      </c>
      <c r="E2117" s="10" t="str">
        <f>HYPERLINK("https://twitter.com/eldiarioes/status/1070725808480755712","1070725808480755712")</f>
        <v>1070725808480755712</v>
      </c>
      <c r="F2117" s="11" t="s">
        <v>4145</v>
      </c>
      <c r="G2117" s="11" t="s">
        <v>6891</v>
      </c>
      <c r="H2117" s="12"/>
      <c r="I2117" s="13">
        <v>7</v>
      </c>
      <c r="J2117" s="13">
        <v>11</v>
      </c>
      <c r="K2117" s="14" t="str">
        <f>HYPERLINK("https://about.twitter.com/products/tweetdeck","TweetDeck")</f>
        <v>TweetDeck</v>
      </c>
      <c r="L2117" s="13">
        <v>940168</v>
      </c>
      <c r="M2117" s="13">
        <v>456</v>
      </c>
      <c r="N2117" s="13">
        <v>11262</v>
      </c>
      <c r="O2117" s="18" t="s">
        <v>41</v>
      </c>
      <c r="P2117" s="6">
        <v>40992.839189814811</v>
      </c>
      <c r="Q2117" s="12"/>
      <c r="R2117" s="17" t="s">
        <v>643</v>
      </c>
      <c r="S2117" s="11" t="s">
        <v>644</v>
      </c>
      <c r="T2117" s="12"/>
      <c r="U2117" s="10" t="str">
        <f>HYPERLINK("https://pbs.twimg.com/profile_images/1016600645292511232/eYIkIK2s.jpg","View")</f>
        <v>View</v>
      </c>
    </row>
    <row r="2118" spans="1:21" ht="40.799999999999997">
      <c r="A2118" s="6">
        <v>43440.753275462965</v>
      </c>
      <c r="B2118" s="7" t="str">
        <f>HYPERLINK("https://twitter.com/OrtizPrez","@OrtizPrez")</f>
        <v>@OrtizPrez</v>
      </c>
      <c r="C2118" s="8" t="s">
        <v>7135</v>
      </c>
      <c r="D2118" s="9" t="s">
        <v>4459</v>
      </c>
      <c r="E2118" s="10" t="str">
        <f>HYPERLINK("https://twitter.com/OrtizPrez/status/1070725737760600064","1070725737760600064")</f>
        <v>1070725737760600064</v>
      </c>
      <c r="F2118" s="11" t="s">
        <v>2089</v>
      </c>
      <c r="G2118" s="12"/>
      <c r="H2118" s="12"/>
      <c r="I2118" s="13">
        <v>0</v>
      </c>
      <c r="J2118" s="13">
        <v>0</v>
      </c>
      <c r="K2118" s="14" t="str">
        <f>HYPERLINK("http://twitter.com","Twitter Web Client")</f>
        <v>Twitter Web Client</v>
      </c>
      <c r="L2118" s="13">
        <v>758</v>
      </c>
      <c r="M2118" s="13">
        <v>909</v>
      </c>
      <c r="N2118" s="13">
        <v>10</v>
      </c>
      <c r="O2118" s="15"/>
      <c r="P2118" s="6">
        <v>40827.555219907408</v>
      </c>
      <c r="Q2118" s="16" t="s">
        <v>60</v>
      </c>
      <c r="R2118" s="17" t="s">
        <v>7138</v>
      </c>
      <c r="S2118" s="12"/>
      <c r="T2118" s="12"/>
      <c r="U2118" s="10" t="str">
        <f>HYPERLINK("https://pbs.twimg.com/profile_images/378800000273502463/dd67849542b55c148c271d885e233633.jpeg","View")</f>
        <v>View</v>
      </c>
    </row>
    <row r="2119" spans="1:21" ht="20.399999999999999">
      <c r="A2119" s="6">
        <v>43440.752337962964</v>
      </c>
      <c r="B2119" s="7" t="str">
        <f>HYPERLINK("https://twitter.com/Alphonsus1975","@Alphonsus1975")</f>
        <v>@Alphonsus1975</v>
      </c>
      <c r="C2119" s="8" t="s">
        <v>7139</v>
      </c>
      <c r="D2119" s="9" t="s">
        <v>6057</v>
      </c>
      <c r="E2119" s="10" t="str">
        <f>HYPERLINK("https://twitter.com/Alphonsus1975/status/1070725396331749376","1070725396331749376")</f>
        <v>1070725396331749376</v>
      </c>
      <c r="F2119" s="11" t="s">
        <v>4815</v>
      </c>
      <c r="G2119" s="12"/>
      <c r="H2119" s="12"/>
      <c r="I2119" s="13">
        <v>0</v>
      </c>
      <c r="J2119" s="13">
        <v>0</v>
      </c>
      <c r="K2119" s="14" t="str">
        <f>HYPERLINK("http://twitter.com/download/android","Twitter for Android")</f>
        <v>Twitter for Android</v>
      </c>
      <c r="L2119" s="13">
        <v>679</v>
      </c>
      <c r="M2119" s="13">
        <v>2104</v>
      </c>
      <c r="N2119" s="13">
        <v>3</v>
      </c>
      <c r="O2119" s="15"/>
      <c r="P2119" s="6">
        <v>41465.682800925926</v>
      </c>
      <c r="Q2119" s="16" t="s">
        <v>7140</v>
      </c>
      <c r="R2119" s="17" t="s">
        <v>7141</v>
      </c>
      <c r="S2119" s="11" t="s">
        <v>7142</v>
      </c>
      <c r="T2119" s="12"/>
      <c r="U2119" s="10" t="str">
        <f>HYPERLINK("https://pbs.twimg.com/profile_images/618089005100474369/1DUab7PM.jpg","View")</f>
        <v>View</v>
      </c>
    </row>
    <row r="2120" spans="1:21" ht="20.399999999999999">
      <c r="A2120" s="6">
        <v>43440.751736111109</v>
      </c>
      <c r="B2120" s="7" t="str">
        <f>HYPERLINK("https://twitter.com/L20mOtros","@L20mOtros")</f>
        <v>@L20mOtros</v>
      </c>
      <c r="C2120" s="8" t="s">
        <v>579</v>
      </c>
      <c r="D2120" s="9" t="s">
        <v>7143</v>
      </c>
      <c r="E2120" s="10" t="str">
        <f>HYPERLINK("https://twitter.com/L20mOtros/status/1070725179939192832","1070725179939192832")</f>
        <v>1070725179939192832</v>
      </c>
      <c r="F2120" s="11" t="s">
        <v>7144</v>
      </c>
      <c r="G2120" s="11" t="s">
        <v>7145</v>
      </c>
      <c r="H2120" s="12"/>
      <c r="I2120" s="13">
        <v>0</v>
      </c>
      <c r="J2120" s="13">
        <v>0</v>
      </c>
      <c r="K2120" s="14" t="str">
        <f>HYPERLINK("http://dogtrack.es","DogTrack_Oficial")</f>
        <v>DogTrack_Oficial</v>
      </c>
      <c r="L2120" s="13">
        <v>23</v>
      </c>
      <c r="M2120" s="13">
        <v>8</v>
      </c>
      <c r="N2120" s="13">
        <v>0</v>
      </c>
      <c r="O2120" s="15"/>
      <c r="P2120" s="6">
        <v>41285.602418981478</v>
      </c>
      <c r="Q2120" s="12"/>
      <c r="R2120" s="19"/>
      <c r="S2120" s="11" t="s">
        <v>585</v>
      </c>
      <c r="T2120" s="12"/>
      <c r="U2120" s="10" t="str">
        <f>HYPERLINK("https://pbs.twimg.com/profile_images/3148562799/6854a445e373c5053b43f5c11d764b41.jpeg","View")</f>
        <v>View</v>
      </c>
    </row>
    <row r="2121" spans="1:21" ht="30.6">
      <c r="A2121" s="6">
        <v>43440.751030092593</v>
      </c>
      <c r="B2121" s="7" t="str">
        <f>HYPERLINK("https://twitter.com/Magvillalba","@Magvillalba")</f>
        <v>@Magvillalba</v>
      </c>
      <c r="C2121" s="8" t="s">
        <v>7146</v>
      </c>
      <c r="D2121" s="9" t="s">
        <v>7147</v>
      </c>
      <c r="E2121" s="10" t="str">
        <f>HYPERLINK("https://twitter.com/Magvillalba/status/1070724922622775297","1070724922622775297")</f>
        <v>1070724922622775297</v>
      </c>
      <c r="F2121" s="11" t="s">
        <v>6731</v>
      </c>
      <c r="G2121" s="12"/>
      <c r="H2121" s="12"/>
      <c r="I2121" s="13">
        <v>1</v>
      </c>
      <c r="J2121" s="13">
        <v>1</v>
      </c>
      <c r="K2121" s="14" t="str">
        <f>HYPERLINK("http://twitter.com/download/iphone","Twitter for iPhone")</f>
        <v>Twitter for iPhone</v>
      </c>
      <c r="L2121" s="13">
        <v>246</v>
      </c>
      <c r="M2121" s="13">
        <v>1146</v>
      </c>
      <c r="N2121" s="13">
        <v>3</v>
      </c>
      <c r="O2121" s="15"/>
      <c r="P2121" s="6">
        <v>41185.907754629632</v>
      </c>
      <c r="Q2121" s="16" t="s">
        <v>26</v>
      </c>
      <c r="R2121" s="17" t="s">
        <v>7148</v>
      </c>
      <c r="S2121" s="12"/>
      <c r="T2121" s="12"/>
      <c r="U2121" s="10" t="str">
        <f>HYPERLINK("https://pbs.twimg.com/profile_images/1028923135620460544/zAG__Liq.jpg","View")</f>
        <v>View</v>
      </c>
    </row>
    <row r="2122" spans="1:21" ht="30.6">
      <c r="A2122" s="6">
        <v>43440.75072916667</v>
      </c>
      <c r="B2122" s="7" t="str">
        <f>HYPERLINK("https://twitter.com/actuallcom","@actuallcom")</f>
        <v>@actuallcom</v>
      </c>
      <c r="C2122" s="8" t="s">
        <v>7149</v>
      </c>
      <c r="D2122" s="9" t="s">
        <v>7150</v>
      </c>
      <c r="E2122" s="10" t="str">
        <f>HYPERLINK("https://twitter.com/actuallcom/status/1070724813143072770","1070724813143072770")</f>
        <v>1070724813143072770</v>
      </c>
      <c r="F2122" s="11" t="s">
        <v>7151</v>
      </c>
      <c r="G2122" s="12"/>
      <c r="H2122" s="12"/>
      <c r="I2122" s="13">
        <v>2</v>
      </c>
      <c r="J2122" s="13">
        <v>3</v>
      </c>
      <c r="K2122" s="14" t="str">
        <f t="shared" ref="K2122:K2123" si="375">HYPERLINK("https://www.hootsuite.com","Hootsuite Inc.")</f>
        <v>Hootsuite Inc.</v>
      </c>
      <c r="L2122" s="13">
        <v>16089</v>
      </c>
      <c r="M2122" s="13">
        <v>750</v>
      </c>
      <c r="N2122" s="13">
        <v>271</v>
      </c>
      <c r="O2122" s="15"/>
      <c r="P2122" s="6">
        <v>41571.89340277778</v>
      </c>
      <c r="Q2122" s="16" t="s">
        <v>26</v>
      </c>
      <c r="R2122" s="17" t="s">
        <v>7152</v>
      </c>
      <c r="S2122" s="11" t="s">
        <v>7153</v>
      </c>
      <c r="T2122" s="12"/>
      <c r="U2122" s="10" t="str">
        <f>HYPERLINK("https://pbs.twimg.com/profile_images/636123121486045184/ubrNIlOW.png","View")</f>
        <v>View</v>
      </c>
    </row>
    <row r="2123" spans="1:21" ht="30.6">
      <c r="A2123" s="6">
        <v>43440.75037037037</v>
      </c>
      <c r="B2123" s="7" t="str">
        <f>HYPERLINK("https://twitter.com/CSurNoticias","@CSurNoticias")</f>
        <v>@CSurNoticias</v>
      </c>
      <c r="C2123" s="8" t="s">
        <v>7154</v>
      </c>
      <c r="D2123" s="9" t="s">
        <v>7155</v>
      </c>
      <c r="E2123" s="10" t="str">
        <f>HYPERLINK("https://twitter.com/CSurNoticias/status/1070724685304922112","1070724685304922112")</f>
        <v>1070724685304922112</v>
      </c>
      <c r="F2123" s="11" t="s">
        <v>7156</v>
      </c>
      <c r="G2123" s="11" t="s">
        <v>7157</v>
      </c>
      <c r="H2123" s="12"/>
      <c r="I2123" s="13">
        <v>0</v>
      </c>
      <c r="J2123" s="13">
        <v>0</v>
      </c>
      <c r="K2123" s="14" t="str">
        <f t="shared" si="375"/>
        <v>Hootsuite Inc.</v>
      </c>
      <c r="L2123" s="13">
        <v>53216</v>
      </c>
      <c r="M2123" s="13">
        <v>232</v>
      </c>
      <c r="N2123" s="13">
        <v>890</v>
      </c>
      <c r="O2123" s="18" t="s">
        <v>41</v>
      </c>
      <c r="P2123" s="6">
        <v>39931.566990740743</v>
      </c>
      <c r="Q2123" s="16" t="s">
        <v>519</v>
      </c>
      <c r="R2123" s="17" t="s">
        <v>7158</v>
      </c>
      <c r="S2123" s="11" t="s">
        <v>7159</v>
      </c>
      <c r="T2123" s="12"/>
      <c r="U2123" s="10" t="str">
        <f>HYPERLINK("https://pbs.twimg.com/profile_images/1040565829119696896/5IRki3sL.jpg","View")</f>
        <v>View</v>
      </c>
    </row>
    <row r="2124" spans="1:21" ht="40.799999999999997">
      <c r="A2124" s="6">
        <v>43440.750069444446</v>
      </c>
      <c r="B2124" s="7" t="str">
        <f>HYPERLINK("https://twitter.com/LauraZetkin","@LauraZetkin")</f>
        <v>@LauraZetkin</v>
      </c>
      <c r="C2124" s="8" t="s">
        <v>7160</v>
      </c>
      <c r="D2124" s="9" t="s">
        <v>7161</v>
      </c>
      <c r="E2124" s="10" t="str">
        <f>HYPERLINK("https://twitter.com/LauraZetkin/status/1070724575816794113","1070724575816794113")</f>
        <v>1070724575816794113</v>
      </c>
      <c r="F2124" s="12"/>
      <c r="G2124" s="12"/>
      <c r="H2124" s="12"/>
      <c r="I2124" s="13">
        <v>10</v>
      </c>
      <c r="J2124" s="13">
        <v>38</v>
      </c>
      <c r="K2124" s="14" t="str">
        <f>HYPERLINK("http://twitter.com/download/android","Twitter for Android")</f>
        <v>Twitter for Android</v>
      </c>
      <c r="L2124" s="13">
        <v>8554</v>
      </c>
      <c r="M2124" s="13">
        <v>235</v>
      </c>
      <c r="N2124" s="13">
        <v>188</v>
      </c>
      <c r="O2124" s="15"/>
      <c r="P2124" s="6">
        <v>41043.646273148144</v>
      </c>
      <c r="Q2124" s="16" t="s">
        <v>143</v>
      </c>
      <c r="R2124" s="17" t="s">
        <v>7162</v>
      </c>
      <c r="S2124" s="11" t="s">
        <v>7163</v>
      </c>
      <c r="T2124" s="12"/>
      <c r="U2124" s="10" t="str">
        <f>HYPERLINK("https://pbs.twimg.com/profile_images/999007060019703808/LFKgIdG_.jpg","View")</f>
        <v>View</v>
      </c>
    </row>
    <row r="2125" spans="1:21" ht="30.6">
      <c r="A2125" s="6">
        <v>43440.75</v>
      </c>
      <c r="B2125" s="7" t="str">
        <f>HYPERLINK("https://twitter.com/laSextaTV","@laSextaTV")</f>
        <v>@laSextaTV</v>
      </c>
      <c r="C2125" s="8" t="s">
        <v>3737</v>
      </c>
      <c r="D2125" s="9" t="s">
        <v>7164</v>
      </c>
      <c r="E2125" s="10" t="str">
        <f>HYPERLINK("https://twitter.com/laSextaTV/status/1070724551955353600","1070724551955353600")</f>
        <v>1070724551955353600</v>
      </c>
      <c r="F2125" s="11" t="s">
        <v>7166</v>
      </c>
      <c r="G2125" s="12"/>
      <c r="H2125" s="12"/>
      <c r="I2125" s="13">
        <v>1</v>
      </c>
      <c r="J2125" s="13">
        <v>2</v>
      </c>
      <c r="K2125" s="14" t="str">
        <f>HYPERLINK("http://dogtrack.es","DogTrack_Oficial")</f>
        <v>DogTrack_Oficial</v>
      </c>
      <c r="L2125" s="13">
        <v>915225</v>
      </c>
      <c r="M2125" s="13">
        <v>307</v>
      </c>
      <c r="N2125" s="13">
        <v>5854</v>
      </c>
      <c r="O2125" s="18" t="s">
        <v>41</v>
      </c>
      <c r="P2125" s="6">
        <v>39877.804710648146</v>
      </c>
      <c r="Q2125" s="16" t="s">
        <v>119</v>
      </c>
      <c r="R2125" s="17" t="s">
        <v>3740</v>
      </c>
      <c r="S2125" s="11" t="s">
        <v>3741</v>
      </c>
      <c r="T2125" s="12"/>
      <c r="U2125" s="10" t="str">
        <f>HYPERLINK("https://pbs.twimg.com/profile_images/898966361426231296/0sS0RzFh.jpg","View")</f>
        <v>View</v>
      </c>
    </row>
    <row r="2126" spans="1:21" ht="40.799999999999997">
      <c r="A2126" s="6">
        <v>43440.747858796298</v>
      </c>
      <c r="B2126" s="7" t="str">
        <f>HYPERLINK("https://twitter.com/losmocanos54","@losmocanos54")</f>
        <v>@losmocanos54</v>
      </c>
      <c r="C2126" s="8" t="s">
        <v>7167</v>
      </c>
      <c r="D2126" s="9" t="s">
        <v>7168</v>
      </c>
      <c r="E2126" s="10" t="str">
        <f>HYPERLINK("https://twitter.com/losmocanos54/status/1070723775900119041","1070723775900119041")</f>
        <v>1070723775900119041</v>
      </c>
      <c r="F2126" s="11" t="s">
        <v>7169</v>
      </c>
      <c r="G2126" s="12"/>
      <c r="H2126" s="12"/>
      <c r="I2126" s="13">
        <v>0</v>
      </c>
      <c r="J2126" s="13">
        <v>0</v>
      </c>
      <c r="K2126" s="14" t="str">
        <f>HYPERLINK("http://www.facebook.com/twitter","Facebook")</f>
        <v>Facebook</v>
      </c>
      <c r="L2126" s="13">
        <v>3598</v>
      </c>
      <c r="M2126" s="13">
        <v>2046</v>
      </c>
      <c r="N2126" s="13">
        <v>11</v>
      </c>
      <c r="O2126" s="15"/>
      <c r="P2126" s="6">
        <v>40070.813958333332</v>
      </c>
      <c r="Q2126" s="16" t="s">
        <v>7170</v>
      </c>
      <c r="R2126" s="17" t="s">
        <v>7171</v>
      </c>
      <c r="S2126" s="11" t="s">
        <v>7172</v>
      </c>
      <c r="T2126" s="12"/>
      <c r="U2126" s="10" t="str">
        <f>HYPERLINK("https://pbs.twimg.com/profile_images/753899989756182528/apEg05b7.jpg","View")</f>
        <v>View</v>
      </c>
    </row>
    <row r="2127" spans="1:21" ht="81.599999999999994">
      <c r="A2127" s="6">
        <v>43440.747685185182</v>
      </c>
      <c r="B2127" s="7" t="str">
        <f>HYPERLINK("https://twitter.com/riki712","@riki712")</f>
        <v>@riki712</v>
      </c>
      <c r="C2127" s="8" t="s">
        <v>7108</v>
      </c>
      <c r="D2127" s="9" t="s">
        <v>7173</v>
      </c>
      <c r="E2127" s="10" t="str">
        <f>HYPERLINK("https://twitter.com/riki712/status/1070723710808702977","1070723710808702977")</f>
        <v>1070723710808702977</v>
      </c>
      <c r="F2127" s="11" t="s">
        <v>7174</v>
      </c>
      <c r="G2127" s="11" t="s">
        <v>7175</v>
      </c>
      <c r="H2127" s="12"/>
      <c r="I2127" s="13">
        <v>37</v>
      </c>
      <c r="J2127" s="13">
        <v>47</v>
      </c>
      <c r="K2127" s="14" t="str">
        <f>HYPERLINK("https://mobile.twitter.com","Twitter Lite")</f>
        <v>Twitter Lite</v>
      </c>
      <c r="L2127" s="13">
        <v>178</v>
      </c>
      <c r="M2127" s="13">
        <v>470</v>
      </c>
      <c r="N2127" s="13">
        <v>3</v>
      </c>
      <c r="O2127" s="15"/>
      <c r="P2127" s="6">
        <v>40690.568506944444</v>
      </c>
      <c r="Q2127" s="16" t="s">
        <v>200</v>
      </c>
      <c r="R2127" s="17" t="s">
        <v>7111</v>
      </c>
      <c r="S2127" s="12"/>
      <c r="T2127" s="12"/>
      <c r="U2127" s="10" t="str">
        <f>HYPERLINK("https://pbs.twimg.com/profile_images/909477168606007298/lTMXplN5.jpg","View")</f>
        <v>View</v>
      </c>
    </row>
    <row r="2128" spans="1:21" ht="13.2">
      <c r="A2128" s="6">
        <v>43440.747384259259</v>
      </c>
      <c r="B2128" s="7" t="str">
        <f>HYPERLINK("https://twitter.com/periodicoaragon","@periodicoaragon")</f>
        <v>@periodicoaragon</v>
      </c>
      <c r="C2128" s="8" t="s">
        <v>7176</v>
      </c>
      <c r="D2128" s="9" t="s">
        <v>7177</v>
      </c>
      <c r="E2128" s="10" t="str">
        <f>HYPERLINK("https://twitter.com/periodicoaragon/status/1070723602998280194","1070723602998280194")</f>
        <v>1070723602998280194</v>
      </c>
      <c r="F2128" s="11" t="s">
        <v>7178</v>
      </c>
      <c r="G2128" s="12"/>
      <c r="H2128" s="12"/>
      <c r="I2128" s="13">
        <v>1</v>
      </c>
      <c r="J2128" s="13">
        <v>2</v>
      </c>
      <c r="K2128" s="14" t="str">
        <f>HYPERLINK("http://cms.dicom-medios.com:8080","CMS Dicom Medios")</f>
        <v>CMS Dicom Medios</v>
      </c>
      <c r="L2128" s="13">
        <v>74547</v>
      </c>
      <c r="M2128" s="13">
        <v>105</v>
      </c>
      <c r="N2128" s="13">
        <v>834</v>
      </c>
      <c r="O2128" s="15"/>
      <c r="P2128" s="6">
        <v>39976.709317129629</v>
      </c>
      <c r="Q2128" s="16" t="s">
        <v>491</v>
      </c>
      <c r="R2128" s="17" t="s">
        <v>7179</v>
      </c>
      <c r="S2128" s="11" t="s">
        <v>7180</v>
      </c>
      <c r="T2128" s="12"/>
      <c r="U2128" s="10" t="str">
        <f>HYPERLINK("https://pbs.twimg.com/profile_images/541479720/eparagon.png","View")</f>
        <v>View</v>
      </c>
    </row>
    <row r="2129" spans="1:21" ht="20.399999999999999">
      <c r="A2129" s="6">
        <v>43440.745821759258</v>
      </c>
      <c r="B2129" s="7" t="str">
        <f>HYPERLINK("https://twitter.com/teleprensa","@teleprensa")</f>
        <v>@teleprensa</v>
      </c>
      <c r="C2129" s="8" t="s">
        <v>3334</v>
      </c>
      <c r="D2129" s="9" t="s">
        <v>7181</v>
      </c>
      <c r="E2129" s="10" t="str">
        <f>HYPERLINK("https://twitter.com/teleprensa/status/1070723037580943361","1070723037580943361")</f>
        <v>1070723037580943361</v>
      </c>
      <c r="F2129" s="11" t="s">
        <v>7182</v>
      </c>
      <c r="G2129" s="12"/>
      <c r="H2129" s="12"/>
      <c r="I2129" s="13">
        <v>0</v>
      </c>
      <c r="J2129" s="13">
        <v>0</v>
      </c>
      <c r="K2129" s="14" t="str">
        <f>HYPERLINK("http://www.teleprensa.es","Teleprensa")</f>
        <v>Teleprensa</v>
      </c>
      <c r="L2129" s="13">
        <v>6643</v>
      </c>
      <c r="M2129" s="13">
        <v>61</v>
      </c>
      <c r="N2129" s="13">
        <v>165</v>
      </c>
      <c r="O2129" s="15"/>
      <c r="P2129" s="6">
        <v>39833.742754629631</v>
      </c>
      <c r="Q2129" s="16" t="s">
        <v>3337</v>
      </c>
      <c r="R2129" s="17" t="s">
        <v>3338</v>
      </c>
      <c r="S2129" s="11" t="s">
        <v>3339</v>
      </c>
      <c r="T2129" s="12"/>
      <c r="U2129" s="10" t="str">
        <f>HYPERLINK("https://pbs.twimg.com/profile_images/948234462428581889/njFLb4ok.jpg","View")</f>
        <v>View</v>
      </c>
    </row>
    <row r="2130" spans="1:21" ht="40.799999999999997">
      <c r="A2130" s="6">
        <v>43440.745821759258</v>
      </c>
      <c r="B2130" s="7" t="str">
        <f>HYPERLINK("https://twitter.com/VeoInfo_","@VeoInfo_")</f>
        <v>@VeoInfo_</v>
      </c>
      <c r="C2130" s="8" t="s">
        <v>2627</v>
      </c>
      <c r="D2130" s="9" t="s">
        <v>5235</v>
      </c>
      <c r="E2130" s="10" t="str">
        <f>HYPERLINK("https://twitter.com/VeoInfo_/status/1070723033881559042","1070723033881559042")</f>
        <v>1070723033881559042</v>
      </c>
      <c r="F2130" s="11" t="s">
        <v>7183</v>
      </c>
      <c r="G2130" s="11" t="s">
        <v>7184</v>
      </c>
      <c r="H2130" s="12"/>
      <c r="I2130" s="13">
        <v>0</v>
      </c>
      <c r="J2130" s="13">
        <v>0</v>
      </c>
      <c r="K2130" s="14" t="str">
        <f>HYPERLINK("http://publicize.wp.com/","WordPress.com")</f>
        <v>WordPress.com</v>
      </c>
      <c r="L2130" s="13">
        <v>1135</v>
      </c>
      <c r="M2130" s="13">
        <v>1139</v>
      </c>
      <c r="N2130" s="13">
        <v>37</v>
      </c>
      <c r="O2130" s="15"/>
      <c r="P2130" s="6">
        <v>41881.101840277777</v>
      </c>
      <c r="Q2130" s="16" t="s">
        <v>2629</v>
      </c>
      <c r="R2130" s="17" t="s">
        <v>2630</v>
      </c>
      <c r="S2130" s="11" t="s">
        <v>2631</v>
      </c>
      <c r="T2130" s="12"/>
      <c r="U2130" s="10" t="str">
        <f>HYPERLINK("https://pbs.twimg.com/profile_images/601509372305485827/Val0dfGy.png","View")</f>
        <v>View</v>
      </c>
    </row>
    <row r="2131" spans="1:21" ht="40.799999999999997">
      <c r="A2131" s="6">
        <v>43440.74518518518</v>
      </c>
      <c r="B2131" s="7" t="str">
        <f>HYPERLINK("https://twitter.com/antonioperal","@antonioperal")</f>
        <v>@antonioperal</v>
      </c>
      <c r="C2131" s="8" t="s">
        <v>2787</v>
      </c>
      <c r="D2131" s="9" t="s">
        <v>7185</v>
      </c>
      <c r="E2131" s="10" t="str">
        <f>HYPERLINK("https://twitter.com/antonioperal/status/1070722804700581895","1070722804700581895")</f>
        <v>1070722804700581895</v>
      </c>
      <c r="F2131" s="11" t="s">
        <v>6971</v>
      </c>
      <c r="G2131" s="12"/>
      <c r="H2131" s="12"/>
      <c r="I2131" s="13">
        <v>2</v>
      </c>
      <c r="J2131" s="13">
        <v>1</v>
      </c>
      <c r="K2131" s="14" t="str">
        <f>HYPERLINK("http://twitter.com/download/iphone","Twitter for iPhone")</f>
        <v>Twitter for iPhone</v>
      </c>
      <c r="L2131" s="13">
        <v>17606</v>
      </c>
      <c r="M2131" s="13">
        <v>12085</v>
      </c>
      <c r="N2131" s="13">
        <v>282</v>
      </c>
      <c r="O2131" s="15"/>
      <c r="P2131" s="6">
        <v>40232.406469907408</v>
      </c>
      <c r="Q2131" s="16" t="s">
        <v>2789</v>
      </c>
      <c r="R2131" s="17" t="s">
        <v>2790</v>
      </c>
      <c r="S2131" s="11" t="s">
        <v>2791</v>
      </c>
      <c r="T2131" s="12"/>
      <c r="U2131" s="10" t="str">
        <f>HYPERLINK("https://pbs.twimg.com/profile_images/886138908311990273/JuZB9dVx.jpg","View")</f>
        <v>View</v>
      </c>
    </row>
    <row r="2132" spans="1:21" ht="51">
      <c r="A2132" s="6">
        <v>43440.745104166665</v>
      </c>
      <c r="B2132" s="7" t="str">
        <f>HYPERLINK("https://twitter.com/ricardo_plaza42","@ricardo_plaza42")</f>
        <v>@ricardo_plaza42</v>
      </c>
      <c r="C2132" s="8" t="s">
        <v>7186</v>
      </c>
      <c r="D2132" s="9" t="s">
        <v>7187</v>
      </c>
      <c r="E2132" s="10" t="str">
        <f>HYPERLINK("https://twitter.com/ricardo_plaza42/status/1070722777517309953","1070722777517309953")</f>
        <v>1070722777517309953</v>
      </c>
      <c r="F2132" s="12"/>
      <c r="G2132" s="12"/>
      <c r="H2132" s="12"/>
      <c r="I2132" s="13">
        <v>2</v>
      </c>
      <c r="J2132" s="13">
        <v>1</v>
      </c>
      <c r="K2132" s="14" t="str">
        <f t="shared" ref="K2132:K2133" si="376">HYPERLINK("http://twitter.com/download/android","Twitter for Android")</f>
        <v>Twitter for Android</v>
      </c>
      <c r="L2132" s="13">
        <v>219</v>
      </c>
      <c r="M2132" s="13">
        <v>677</v>
      </c>
      <c r="N2132" s="13">
        <v>0</v>
      </c>
      <c r="O2132" s="15"/>
      <c r="P2132" s="6">
        <v>40313.42528935185</v>
      </c>
      <c r="Q2132" s="12"/>
      <c r="R2132" s="17" t="s">
        <v>7188</v>
      </c>
      <c r="S2132" s="12"/>
      <c r="T2132" s="12"/>
      <c r="U2132" s="10" t="str">
        <f>HYPERLINK("https://pbs.twimg.com/profile_images/598792663278714880/25vTLTkU.jpg","View")</f>
        <v>View</v>
      </c>
    </row>
    <row r="2133" spans="1:21" ht="20.399999999999999">
      <c r="A2133" s="6">
        <v>43440.745104166665</v>
      </c>
      <c r="B2133" s="7" t="str">
        <f>HYPERLINK("https://twitter.com/LuisAlb87688384","@LuisAlb87688384")</f>
        <v>@LuisAlb87688384</v>
      </c>
      <c r="C2133" s="8" t="s">
        <v>6007</v>
      </c>
      <c r="D2133" s="9" t="s">
        <v>5023</v>
      </c>
      <c r="E2133" s="10" t="str">
        <f>HYPERLINK("https://twitter.com/LuisAlb87688384/status/1070722773838901249","1070722773838901249")</f>
        <v>1070722773838901249</v>
      </c>
      <c r="F2133" s="11" t="s">
        <v>6393</v>
      </c>
      <c r="G2133" s="12"/>
      <c r="H2133" s="12"/>
      <c r="I2133" s="13">
        <v>0</v>
      </c>
      <c r="J2133" s="13">
        <v>0</v>
      </c>
      <c r="K2133" s="14" t="str">
        <f t="shared" si="376"/>
        <v>Twitter for Android</v>
      </c>
      <c r="L2133" s="13">
        <v>55</v>
      </c>
      <c r="M2133" s="13">
        <v>67</v>
      </c>
      <c r="N2133" s="13">
        <v>0</v>
      </c>
      <c r="O2133" s="15"/>
      <c r="P2133" s="6">
        <v>42641.939305555556</v>
      </c>
      <c r="Q2133" s="12"/>
      <c r="R2133" s="17" t="s">
        <v>6011</v>
      </c>
      <c r="S2133" s="12"/>
      <c r="T2133" s="12"/>
      <c r="U2133" s="10" t="str">
        <f>HYPERLINK("https://pbs.twimg.com/profile_images/934800927193780225/pAs7j9sw.jpg","View")</f>
        <v>View</v>
      </c>
    </row>
    <row r="2134" spans="1:21" ht="20.399999999999999">
      <c r="A2134" s="6">
        <v>43440.744745370372</v>
      </c>
      <c r="B2134" s="7" t="str">
        <f>HYPERLINK("https://twitter.com/mjkdoval","@mjkdoval")</f>
        <v>@mjkdoval</v>
      </c>
      <c r="C2134" s="8" t="s">
        <v>7189</v>
      </c>
      <c r="D2134" s="9" t="s">
        <v>7190</v>
      </c>
      <c r="E2134" s="10" t="str">
        <f>HYPERLINK("https://twitter.com/mjkdoval/status/1070722646499827712","1070722646499827712")</f>
        <v>1070722646499827712</v>
      </c>
      <c r="F2134" s="11" t="s">
        <v>7191</v>
      </c>
      <c r="G2134" s="12"/>
      <c r="H2134" s="12"/>
      <c r="I2134" s="13">
        <v>0</v>
      </c>
      <c r="J2134" s="13">
        <v>0</v>
      </c>
      <c r="K2134" s="14" t="str">
        <f>HYPERLINK("http://twitter.com/#!/download/ipad","Twitter for iPad")</f>
        <v>Twitter for iPad</v>
      </c>
      <c r="L2134" s="13">
        <v>48</v>
      </c>
      <c r="M2134" s="13">
        <v>100</v>
      </c>
      <c r="N2134" s="13">
        <v>0</v>
      </c>
      <c r="O2134" s="15"/>
      <c r="P2134" s="6">
        <v>40375.334479166668</v>
      </c>
      <c r="Q2134" s="16" t="s">
        <v>200</v>
      </c>
      <c r="R2134" s="17" t="s">
        <v>7192</v>
      </c>
      <c r="S2134" s="12"/>
      <c r="T2134" s="12"/>
      <c r="U2134" s="10" t="str">
        <f>HYPERLINK("https://pbs.twimg.com/profile_images/946413660121059328/sZJs_bsA.jpg","View")</f>
        <v>View</v>
      </c>
    </row>
    <row r="2135" spans="1:21" ht="30.6">
      <c r="A2135" s="6">
        <v>43440.744467592594</v>
      </c>
      <c r="B2135" s="7" t="str">
        <f>HYPERLINK("https://twitter.com/joineurosec","@joineurosec")</f>
        <v>@joineurosec</v>
      </c>
      <c r="C2135" s="8" t="s">
        <v>6575</v>
      </c>
      <c r="D2135" s="9" t="s">
        <v>5586</v>
      </c>
      <c r="E2135" s="10" t="str">
        <f>HYPERLINK("https://twitter.com/joineurosec/status/1070722543525552128","1070722543525552128")</f>
        <v>1070722543525552128</v>
      </c>
      <c r="F2135" s="11" t="s">
        <v>4815</v>
      </c>
      <c r="G2135" s="12"/>
      <c r="H2135" s="12"/>
      <c r="I2135" s="13">
        <v>0</v>
      </c>
      <c r="J2135" s="13">
        <v>0</v>
      </c>
      <c r="K2135" s="14" t="str">
        <f t="shared" ref="K2135:K2138" si="377">HYPERLINK("http://twitter.com","Twitter Web Client")</f>
        <v>Twitter Web Client</v>
      </c>
      <c r="L2135" s="13">
        <v>380</v>
      </c>
      <c r="M2135" s="13">
        <v>845</v>
      </c>
      <c r="N2135" s="13">
        <v>9</v>
      </c>
      <c r="O2135" s="15"/>
      <c r="P2135" s="6">
        <v>41695.342453703706</v>
      </c>
      <c r="Q2135" s="16" t="s">
        <v>6576</v>
      </c>
      <c r="R2135" s="17" t="s">
        <v>6577</v>
      </c>
      <c r="S2135" s="12"/>
      <c r="T2135" s="12"/>
      <c r="U2135" s="10" t="str">
        <f>HYPERLINK("https://pbs.twimg.com/profile_images/1058365454853509121/Sti1PYX5.jpg","View")</f>
        <v>View</v>
      </c>
    </row>
    <row r="2136" spans="1:21" ht="30.6">
      <c r="A2136" s="6">
        <v>43440.743900462963</v>
      </c>
      <c r="B2136" s="7" t="str">
        <f>HYPERLINK("https://twitter.com/Abejorro69","@Abejorro69")</f>
        <v>@Abejorro69</v>
      </c>
      <c r="C2136" s="8" t="s">
        <v>479</v>
      </c>
      <c r="D2136" s="9" t="s">
        <v>7193</v>
      </c>
      <c r="E2136" s="10" t="str">
        <f>HYPERLINK("https://twitter.com/Abejorro69/status/1070722338281414656","1070722338281414656")</f>
        <v>1070722338281414656</v>
      </c>
      <c r="F2136" s="12"/>
      <c r="G2136" s="12"/>
      <c r="H2136" s="12"/>
      <c r="I2136" s="13">
        <v>0</v>
      </c>
      <c r="J2136" s="13">
        <v>0</v>
      </c>
      <c r="K2136" s="14" t="str">
        <f t="shared" si="377"/>
        <v>Twitter Web Client</v>
      </c>
      <c r="L2136" s="13">
        <v>5056</v>
      </c>
      <c r="M2136" s="13">
        <v>3657</v>
      </c>
      <c r="N2136" s="13">
        <v>51</v>
      </c>
      <c r="O2136" s="15"/>
      <c r="P2136" s="6">
        <v>40208.748437499999</v>
      </c>
      <c r="Q2136" s="16" t="s">
        <v>481</v>
      </c>
      <c r="R2136" s="17" t="s">
        <v>482</v>
      </c>
      <c r="S2136" s="12"/>
      <c r="T2136" s="12"/>
      <c r="U2136" s="10" t="str">
        <f>HYPERLINK("https://pbs.twimg.com/profile_images/994603644766031872/5ckiAlY2.jpg","View")</f>
        <v>View</v>
      </c>
    </row>
    <row r="2137" spans="1:21" ht="20.399999999999999">
      <c r="A2137" s="6">
        <v>43440.742476851854</v>
      </c>
      <c r="B2137" s="7" t="str">
        <f>HYPERLINK("https://twitter.com/SALE550","@SALE550")</f>
        <v>@SALE550</v>
      </c>
      <c r="C2137" s="8" t="s">
        <v>3316</v>
      </c>
      <c r="D2137" s="9" t="s">
        <v>5749</v>
      </c>
      <c r="E2137" s="10" t="str">
        <f>HYPERLINK("https://twitter.com/SALE550/status/1070721824487604224","1070721824487604224")</f>
        <v>1070721824487604224</v>
      </c>
      <c r="F2137" s="11" t="s">
        <v>7194</v>
      </c>
      <c r="G2137" s="12"/>
      <c r="H2137" s="12"/>
      <c r="I2137" s="13">
        <v>0</v>
      </c>
      <c r="J2137" s="13">
        <v>0</v>
      </c>
      <c r="K2137" s="14" t="str">
        <f t="shared" si="377"/>
        <v>Twitter Web Client</v>
      </c>
      <c r="L2137" s="13">
        <v>92</v>
      </c>
      <c r="M2137" s="13">
        <v>491</v>
      </c>
      <c r="N2137" s="13">
        <v>3</v>
      </c>
      <c r="O2137" s="15"/>
      <c r="P2137" s="6">
        <v>40501.330335648148</v>
      </c>
      <c r="Q2137" s="16" t="s">
        <v>3319</v>
      </c>
      <c r="R2137" s="17" t="s">
        <v>3320</v>
      </c>
      <c r="S2137" s="12"/>
      <c r="T2137" s="12"/>
      <c r="U2137" s="10" t="str">
        <f>HYPERLINK("https://pbs.twimg.com/profile_images/2292818647/678cuyarak43yyoyr9vu.jpeg","View")</f>
        <v>View</v>
      </c>
    </row>
    <row r="2138" spans="1:21" ht="20.399999999999999">
      <c r="A2138" s="6">
        <v>43440.741493055553</v>
      </c>
      <c r="B2138" s="7" t="str">
        <f>HYPERLINK("https://twitter.com/lluitadorcat","@lluitadorcat")</f>
        <v>@lluitadorcat</v>
      </c>
      <c r="C2138" s="8" t="s">
        <v>7195</v>
      </c>
      <c r="D2138" s="9" t="s">
        <v>6128</v>
      </c>
      <c r="E2138" s="10" t="str">
        <f>HYPERLINK("https://twitter.com/lluitadorcat/status/1070721466583474176","1070721466583474176")</f>
        <v>1070721466583474176</v>
      </c>
      <c r="F2138" s="11" t="s">
        <v>6129</v>
      </c>
      <c r="G2138" s="12"/>
      <c r="H2138" s="12"/>
      <c r="I2138" s="13">
        <v>0</v>
      </c>
      <c r="J2138" s="13">
        <v>0</v>
      </c>
      <c r="K2138" s="14" t="str">
        <f t="shared" si="377"/>
        <v>Twitter Web Client</v>
      </c>
      <c r="L2138" s="13">
        <v>2451</v>
      </c>
      <c r="M2138" s="13">
        <v>3147</v>
      </c>
      <c r="N2138" s="13">
        <v>12</v>
      </c>
      <c r="O2138" s="15"/>
      <c r="P2138" s="6">
        <v>40564.677939814814</v>
      </c>
      <c r="Q2138" s="16" t="s">
        <v>1249</v>
      </c>
      <c r="R2138" s="17" t="s">
        <v>7196</v>
      </c>
      <c r="S2138" s="12"/>
      <c r="T2138" s="12"/>
      <c r="U2138" s="10" t="str">
        <f>HYPERLINK("https://pbs.twimg.com/profile_images/988727069394833408/s73HdMhO.jpg","View")</f>
        <v>View</v>
      </c>
    </row>
    <row r="2139" spans="1:21" ht="30.6">
      <c r="A2139" s="6">
        <v>43440.74009259259</v>
      </c>
      <c r="B2139" s="7" t="str">
        <f>HYPERLINK("https://twitter.com/LVetrinbajo","@LVetrinbajo")</f>
        <v>@LVetrinbajo</v>
      </c>
      <c r="C2139" s="8" t="s">
        <v>5154</v>
      </c>
      <c r="D2139" s="9" t="s">
        <v>7147</v>
      </c>
      <c r="E2139" s="10" t="str">
        <f>HYPERLINK("https://twitter.com/LVetrinbajo/status/1070720960846839809","1070720960846839809")</f>
        <v>1070720960846839809</v>
      </c>
      <c r="F2139" s="11" t="s">
        <v>6731</v>
      </c>
      <c r="G2139" s="12"/>
      <c r="H2139" s="12"/>
      <c r="I2139" s="13">
        <v>0</v>
      </c>
      <c r="J2139" s="13">
        <v>0</v>
      </c>
      <c r="K2139" s="14" t="str">
        <f>HYPERLINK("http://twitter.com/download/iphone","Twitter for iPhone")</f>
        <v>Twitter for iPhone</v>
      </c>
      <c r="L2139" s="13">
        <v>875</v>
      </c>
      <c r="M2139" s="13">
        <v>1945</v>
      </c>
      <c r="N2139" s="13">
        <v>7</v>
      </c>
      <c r="O2139" s="15"/>
      <c r="P2139" s="6">
        <v>43091.966851851852</v>
      </c>
      <c r="Q2139" s="16" t="s">
        <v>2966</v>
      </c>
      <c r="R2139" s="17" t="s">
        <v>5157</v>
      </c>
      <c r="S2139" s="12"/>
      <c r="T2139" s="12"/>
      <c r="U2139" s="10" t="str">
        <f>HYPERLINK("https://pbs.twimg.com/profile_images/1002927443542528001/Ye4GwF3U.jpg","View")</f>
        <v>View</v>
      </c>
    </row>
    <row r="2140" spans="1:21" ht="30.6">
      <c r="A2140" s="6">
        <v>43440.739583333328</v>
      </c>
      <c r="B2140" s="7" t="str">
        <f>HYPERLINK("https://twitter.com/sextaNoticias","@sextaNoticias")</f>
        <v>@sextaNoticias</v>
      </c>
      <c r="C2140" s="8" t="s">
        <v>3791</v>
      </c>
      <c r="D2140" s="9" t="s">
        <v>7197</v>
      </c>
      <c r="E2140" s="10" t="str">
        <f>HYPERLINK("https://twitter.com/sextaNoticias/status/1070720776284852225","1070720776284852225")</f>
        <v>1070720776284852225</v>
      </c>
      <c r="F2140" s="11" t="s">
        <v>7198</v>
      </c>
      <c r="G2140" s="12"/>
      <c r="H2140" s="12"/>
      <c r="I2140" s="13">
        <v>2</v>
      </c>
      <c r="J2140" s="13">
        <v>2</v>
      </c>
      <c r="K2140" s="14" t="str">
        <f>HYPERLINK("http://dogtrack.es","DogTrack_Oficial")</f>
        <v>DogTrack_Oficial</v>
      </c>
      <c r="L2140" s="13">
        <v>1112667</v>
      </c>
      <c r="M2140" s="13">
        <v>279</v>
      </c>
      <c r="N2140" s="13">
        <v>7291</v>
      </c>
      <c r="O2140" s="18" t="s">
        <v>41</v>
      </c>
      <c r="P2140" s="6">
        <v>40099.614328703705</v>
      </c>
      <c r="Q2140" s="12"/>
      <c r="R2140" s="17" t="s">
        <v>3793</v>
      </c>
      <c r="S2140" s="11" t="s">
        <v>3794</v>
      </c>
      <c r="T2140" s="12"/>
      <c r="U2140" s="10" t="str">
        <f>HYPERLINK("https://pbs.twimg.com/profile_images/898970208551022592/hh3ITSK-.jpg","View")</f>
        <v>View</v>
      </c>
    </row>
    <row r="2141" spans="1:21" ht="51">
      <c r="A2141" s="6">
        <v>43440.73918981482</v>
      </c>
      <c r="B2141" s="7" t="str">
        <f>HYPERLINK("https://twitter.com/jmmangas9","@jmmangas9")</f>
        <v>@jmmangas9</v>
      </c>
      <c r="C2141" s="8" t="s">
        <v>1008</v>
      </c>
      <c r="D2141" s="9" t="s">
        <v>7199</v>
      </c>
      <c r="E2141" s="10" t="str">
        <f>HYPERLINK("https://twitter.com/jmmangas9/status/1070720630528577536","1070720630528577536")</f>
        <v>1070720630528577536</v>
      </c>
      <c r="F2141" s="12"/>
      <c r="G2141" s="11" t="s">
        <v>7200</v>
      </c>
      <c r="H2141" s="12"/>
      <c r="I2141" s="13">
        <v>0</v>
      </c>
      <c r="J2141" s="13">
        <v>0</v>
      </c>
      <c r="K2141" s="14" t="str">
        <f>HYPERLINK("http://twitter.com","Twitter Web Client")</f>
        <v>Twitter Web Client</v>
      </c>
      <c r="L2141" s="13">
        <v>142</v>
      </c>
      <c r="M2141" s="13">
        <v>600</v>
      </c>
      <c r="N2141" s="13">
        <v>0</v>
      </c>
      <c r="O2141" s="15"/>
      <c r="P2141" s="6">
        <v>42653.805300925931</v>
      </c>
      <c r="Q2141" s="12"/>
      <c r="R2141" s="17" t="s">
        <v>1010</v>
      </c>
      <c r="S2141" s="12"/>
      <c r="T2141" s="12"/>
      <c r="U2141" s="10" t="str">
        <f>HYPERLINK("https://pbs.twimg.com/profile_images/786873792169672704/t_6tcg9V.jpg","View")</f>
        <v>View</v>
      </c>
    </row>
    <row r="2142" spans="1:21" ht="40.799999999999997">
      <c r="A2142" s="6">
        <v>43440.738680555558</v>
      </c>
      <c r="B2142" s="7" t="str">
        <f>HYPERLINK("https://twitter.com/patarrocas","@patarrocas")</f>
        <v>@patarrocas</v>
      </c>
      <c r="C2142" s="8" t="s">
        <v>7201</v>
      </c>
      <c r="D2142" s="9" t="s">
        <v>7202</v>
      </c>
      <c r="E2142" s="10" t="str">
        <f>HYPERLINK("https://twitter.com/patarrocas/status/1070720449187848193","1070720449187848193")</f>
        <v>1070720449187848193</v>
      </c>
      <c r="F2142" s="11" t="s">
        <v>4628</v>
      </c>
      <c r="G2142" s="12"/>
      <c r="H2142" s="12"/>
      <c r="I2142" s="13">
        <v>0</v>
      </c>
      <c r="J2142" s="13">
        <v>0</v>
      </c>
      <c r="K2142" s="14" t="str">
        <f>HYPERLINK("http://twitter.com/download/android","Twitter for Android")</f>
        <v>Twitter for Android</v>
      </c>
      <c r="L2142" s="13">
        <v>1157</v>
      </c>
      <c r="M2142" s="13">
        <v>1429</v>
      </c>
      <c r="N2142" s="13">
        <v>70</v>
      </c>
      <c r="O2142" s="15"/>
      <c r="P2142" s="6">
        <v>41158.551550925928</v>
      </c>
      <c r="Q2142" s="12"/>
      <c r="R2142" s="17" t="s">
        <v>7203</v>
      </c>
      <c r="S2142" s="12"/>
      <c r="T2142" s="12"/>
      <c r="U2142" s="10" t="str">
        <f>HYPERLINK("https://pbs.twimg.com/profile_images/3307093406/c4ca3e67b6f9d29d6b9ceb489724546b.jpeg","View")</f>
        <v>View</v>
      </c>
    </row>
    <row r="2143" spans="1:21" ht="20.399999999999999">
      <c r="A2143" s="6">
        <v>43440.737592592588</v>
      </c>
      <c r="B2143" s="7" t="str">
        <f>HYPERLINK("https://twitter.com/ComunidadMitre","@ComunidadMitre")</f>
        <v>@ComunidadMitre</v>
      </c>
      <c r="C2143" s="8" t="s">
        <v>7204</v>
      </c>
      <c r="D2143" s="9" t="s">
        <v>7205</v>
      </c>
      <c r="E2143" s="10" t="str">
        <f>HYPERLINK("https://twitter.com/ComunidadMitre/status/1070720051869876225","1070720051869876225")</f>
        <v>1070720051869876225</v>
      </c>
      <c r="F2143" s="11" t="s">
        <v>7206</v>
      </c>
      <c r="G2143" s="12"/>
      <c r="H2143" s="12"/>
      <c r="I2143" s="13">
        <v>0</v>
      </c>
      <c r="J2143" s="13">
        <v>1</v>
      </c>
      <c r="K2143" s="14" t="str">
        <f>HYPERLINK("http://35.180.51.235","NAC Co.")</f>
        <v>NAC Co.</v>
      </c>
      <c r="L2143" s="13">
        <v>10134</v>
      </c>
      <c r="M2143" s="13">
        <v>104</v>
      </c>
      <c r="N2143" s="13">
        <v>119</v>
      </c>
      <c r="O2143" s="15"/>
      <c r="P2143" s="6">
        <v>41312.075648148151</v>
      </c>
      <c r="Q2143" s="16" t="s">
        <v>7207</v>
      </c>
      <c r="R2143" s="17" t="s">
        <v>7208</v>
      </c>
      <c r="S2143" s="11" t="s">
        <v>7209</v>
      </c>
      <c r="T2143" s="12"/>
      <c r="U2143" s="10" t="str">
        <f>HYPERLINK("https://pbs.twimg.com/profile_images/966142833269923840/PD8qzNcm.jpg","View")</f>
        <v>View</v>
      </c>
    </row>
    <row r="2144" spans="1:21" ht="20.399999999999999">
      <c r="A2144" s="6">
        <v>43440.737164351856</v>
      </c>
      <c r="B2144" s="7" t="str">
        <f>HYPERLINK("https://twitter.com/LongobardiM","@LongobardiM")</f>
        <v>@LongobardiM</v>
      </c>
      <c r="C2144" s="8" t="s">
        <v>7212</v>
      </c>
      <c r="D2144" s="9" t="s">
        <v>7213</v>
      </c>
      <c r="E2144" s="10" t="str">
        <f>HYPERLINK("https://twitter.com/LongobardiM/status/1070719897121026048","1070719897121026048")</f>
        <v>1070719897121026048</v>
      </c>
      <c r="F2144" s="11" t="s">
        <v>7214</v>
      </c>
      <c r="G2144" s="12"/>
      <c r="H2144" s="12"/>
      <c r="I2144" s="13">
        <v>3</v>
      </c>
      <c r="J2144" s="13">
        <v>16</v>
      </c>
      <c r="K2144" s="14" t="str">
        <f>HYPERLINK("https://www.hootsuite.com","Hootsuite Inc.")</f>
        <v>Hootsuite Inc.</v>
      </c>
      <c r="L2144" s="13">
        <v>516096</v>
      </c>
      <c r="M2144" s="13">
        <v>80</v>
      </c>
      <c r="N2144" s="13">
        <v>1208</v>
      </c>
      <c r="O2144" s="15"/>
      <c r="P2144" s="6">
        <v>40417.040891203702</v>
      </c>
      <c r="Q2144" s="16" t="s">
        <v>353</v>
      </c>
      <c r="R2144" s="17" t="s">
        <v>7216</v>
      </c>
      <c r="S2144" s="11" t="s">
        <v>7217</v>
      </c>
      <c r="T2144" s="12"/>
      <c r="U2144" s="10" t="str">
        <f>HYPERLINK("https://pbs.twimg.com/profile_images/996048798362361856/ggcK6z_4.jpg","View")</f>
        <v>View</v>
      </c>
    </row>
    <row r="2145" spans="1:21" ht="51">
      <c r="A2145" s="6">
        <v>43440.736539351856</v>
      </c>
      <c r="B2145" s="7" t="str">
        <f>HYPERLINK("https://twitter.com/Apporelly","@Apporelly")</f>
        <v>@Apporelly</v>
      </c>
      <c r="C2145" s="8" t="s">
        <v>7218</v>
      </c>
      <c r="D2145" s="9" t="s">
        <v>7219</v>
      </c>
      <c r="E2145" s="10" t="str">
        <f>HYPERLINK("https://twitter.com/Apporelly/status/1070719671320657926","1070719671320657926")</f>
        <v>1070719671320657926</v>
      </c>
      <c r="F2145" s="11" t="s">
        <v>7220</v>
      </c>
      <c r="G2145" s="12"/>
      <c r="H2145" s="12"/>
      <c r="I2145" s="13">
        <v>8</v>
      </c>
      <c r="J2145" s="13">
        <v>6</v>
      </c>
      <c r="K2145" s="14" t="str">
        <f>HYPERLINK("http://twitter.com/download/android","Twitter for Android")</f>
        <v>Twitter for Android</v>
      </c>
      <c r="L2145" s="13">
        <v>2593</v>
      </c>
      <c r="M2145" s="13">
        <v>2655</v>
      </c>
      <c r="N2145" s="13">
        <v>2</v>
      </c>
      <c r="O2145" s="15"/>
      <c r="P2145" s="6">
        <v>40276.837048611109</v>
      </c>
      <c r="Q2145" s="16" t="s">
        <v>7221</v>
      </c>
      <c r="R2145" s="17" t="s">
        <v>7222</v>
      </c>
      <c r="S2145" s="12"/>
      <c r="T2145" s="12"/>
      <c r="U2145" s="10" t="str">
        <f>HYPERLINK("https://pbs.twimg.com/profile_images/933658422570110976/Eks4F6Hh.jpg","View")</f>
        <v>View</v>
      </c>
    </row>
    <row r="2146" spans="1:21" ht="51">
      <c r="A2146" s="6">
        <v>43440.736203703702</v>
      </c>
      <c r="B2146" s="7" t="str">
        <f>HYPERLINK("https://twitter.com/DavidRguezArias","@DavidRguezArias")</f>
        <v>@DavidRguezArias</v>
      </c>
      <c r="C2146" s="8" t="s">
        <v>7223</v>
      </c>
      <c r="D2146" s="9" t="s">
        <v>7224</v>
      </c>
      <c r="E2146" s="10" t="str">
        <f>HYPERLINK("https://twitter.com/DavidRguezArias/status/1070719549375475713","1070719549375475713")</f>
        <v>1070719549375475713</v>
      </c>
      <c r="F2146" s="11" t="s">
        <v>7225</v>
      </c>
      <c r="G2146" s="12"/>
      <c r="H2146" s="12"/>
      <c r="I2146" s="13">
        <v>0</v>
      </c>
      <c r="J2146" s="13">
        <v>0</v>
      </c>
      <c r="K2146" s="14" t="str">
        <f>HYPERLINK("http://twitter.com/download/iphone","Twitter for iPhone")</f>
        <v>Twitter for iPhone</v>
      </c>
      <c r="L2146" s="13">
        <v>130</v>
      </c>
      <c r="M2146" s="13">
        <v>179</v>
      </c>
      <c r="N2146" s="13">
        <v>1</v>
      </c>
      <c r="O2146" s="15"/>
      <c r="P2146" s="6">
        <v>40680.85527777778</v>
      </c>
      <c r="Q2146" s="16" t="s">
        <v>7226</v>
      </c>
      <c r="R2146" s="17" t="s">
        <v>7227</v>
      </c>
      <c r="S2146" s="12"/>
      <c r="T2146" s="12"/>
      <c r="U2146" s="10" t="str">
        <f>HYPERLINK("https://pbs.twimg.com/profile_images/1023502507346210816/sy03FEtN.jpg","View")</f>
        <v>View</v>
      </c>
    </row>
    <row r="2147" spans="1:21" ht="40.799999999999997">
      <c r="A2147" s="6">
        <v>43440.736122685186</v>
      </c>
      <c r="B2147" s="7" t="str">
        <f>HYPERLINK("https://twitter.com/radiomitre","@radiomitre")</f>
        <v>@radiomitre</v>
      </c>
      <c r="C2147" s="8" t="s">
        <v>7228</v>
      </c>
      <c r="D2147" s="9" t="s">
        <v>7229</v>
      </c>
      <c r="E2147" s="10" t="str">
        <f>HYPERLINK("https://twitter.com/radiomitre/status/1070719519142875142","1070719519142875142")</f>
        <v>1070719519142875142</v>
      </c>
      <c r="F2147" s="11" t="s">
        <v>7206</v>
      </c>
      <c r="G2147" s="12"/>
      <c r="H2147" s="12"/>
      <c r="I2147" s="13">
        <v>1</v>
      </c>
      <c r="J2147" s="13">
        <v>3</v>
      </c>
      <c r="K2147" s="14" t="str">
        <f>HYPERLINK("https://www.hootsuite.com","Hootsuite Inc.")</f>
        <v>Hootsuite Inc.</v>
      </c>
      <c r="L2147" s="13">
        <v>872049</v>
      </c>
      <c r="M2147" s="13">
        <v>1781</v>
      </c>
      <c r="N2147" s="13">
        <v>2539</v>
      </c>
      <c r="O2147" s="18" t="s">
        <v>41</v>
      </c>
      <c r="P2147" s="6">
        <v>40415.863715277781</v>
      </c>
      <c r="Q2147" s="12"/>
      <c r="R2147" s="17" t="s">
        <v>7230</v>
      </c>
      <c r="S2147" s="11" t="s">
        <v>7231</v>
      </c>
      <c r="T2147" s="12"/>
      <c r="U2147" s="10" t="str">
        <f>HYPERLINK("https://pbs.twimg.com/profile_images/1045349253059694593/K-78anPH.jpg","View")</f>
        <v>View</v>
      </c>
    </row>
    <row r="2148" spans="1:21" ht="51">
      <c r="A2148" s="6">
        <v>43440.736041666663</v>
      </c>
      <c r="B2148" s="7" t="str">
        <f>HYPERLINK("https://twitter.com/puertocruz05","@puertocruz05")</f>
        <v>@puertocruz05</v>
      </c>
      <c r="C2148" s="8" t="s">
        <v>4688</v>
      </c>
      <c r="D2148" s="9" t="s">
        <v>7232</v>
      </c>
      <c r="E2148" s="10" t="str">
        <f>HYPERLINK("https://twitter.com/puertocruz05/status/1070719490697150466","1070719490697150466")</f>
        <v>1070719490697150466</v>
      </c>
      <c r="F2148" s="11" t="s">
        <v>7233</v>
      </c>
      <c r="G2148" s="12"/>
      <c r="H2148" s="12"/>
      <c r="I2148" s="13">
        <v>0</v>
      </c>
      <c r="J2148" s="13">
        <v>0</v>
      </c>
      <c r="K2148" s="14" t="str">
        <f>HYPERLINK("http://twitter.com/#!/download/ipad","Twitter for iPad")</f>
        <v>Twitter for iPad</v>
      </c>
      <c r="L2148" s="13">
        <v>345</v>
      </c>
      <c r="M2148" s="13">
        <v>972</v>
      </c>
      <c r="N2148" s="13">
        <v>16</v>
      </c>
      <c r="O2148" s="15"/>
      <c r="P2148" s="6">
        <v>41259.492175925923</v>
      </c>
      <c r="Q2148" s="12"/>
      <c r="R2148" s="17" t="s">
        <v>4691</v>
      </c>
      <c r="S2148" s="12"/>
      <c r="T2148" s="12"/>
      <c r="U2148" s="10" t="str">
        <f>HYPERLINK("https://pbs.twimg.com/profile_images/2981980426/f8258064e2f84e2f4c483b7c7811c046.jpeg","View")</f>
        <v>View</v>
      </c>
    </row>
    <row r="2149" spans="1:21" ht="40.799999999999997">
      <c r="A2149" s="6">
        <v>43440.735694444447</v>
      </c>
      <c r="B2149" s="7" t="str">
        <f>HYPERLINK("https://twitter.com/BilbaoSarabia","@BilbaoSarabia")</f>
        <v>@BilbaoSarabia</v>
      </c>
      <c r="C2149" s="8" t="s">
        <v>7234</v>
      </c>
      <c r="D2149" s="9" t="s">
        <v>7235</v>
      </c>
      <c r="E2149" s="10" t="str">
        <f>HYPERLINK("https://twitter.com/BilbaoSarabia/status/1070719364423389185","1070719364423389185")</f>
        <v>1070719364423389185</v>
      </c>
      <c r="F2149" s="12"/>
      <c r="G2149" s="11" t="s">
        <v>7236</v>
      </c>
      <c r="H2149" s="12"/>
      <c r="I2149" s="13">
        <v>0</v>
      </c>
      <c r="J2149" s="13">
        <v>0</v>
      </c>
      <c r="K2149" s="14" t="str">
        <f t="shared" ref="K2149:K2151" si="378">HYPERLINK("http://twitter.com/download/android","Twitter for Android")</f>
        <v>Twitter for Android</v>
      </c>
      <c r="L2149" s="13">
        <v>84</v>
      </c>
      <c r="M2149" s="13">
        <v>62</v>
      </c>
      <c r="N2149" s="13">
        <v>7</v>
      </c>
      <c r="O2149" s="15"/>
      <c r="P2149" s="6">
        <v>41076.823391203703</v>
      </c>
      <c r="Q2149" s="16" t="s">
        <v>7237</v>
      </c>
      <c r="R2149" s="17" t="s">
        <v>7238</v>
      </c>
      <c r="S2149" s="11" t="s">
        <v>7239</v>
      </c>
      <c r="T2149" s="12"/>
      <c r="U2149" s="10" t="str">
        <f>HYPERLINK("https://pbs.twimg.com/profile_images/852491718029176832/yljZ-Mq7.jpg","View")</f>
        <v>View</v>
      </c>
    </row>
    <row r="2150" spans="1:21" ht="51">
      <c r="A2150" s="6">
        <v>43440.734942129631</v>
      </c>
      <c r="B2150" s="7" t="str">
        <f>HYPERLINK("https://twitter.com/MadridDirectoOM","@MadridDirectoOM")</f>
        <v>@MadridDirectoOM</v>
      </c>
      <c r="C2150" s="8" t="s">
        <v>7240</v>
      </c>
      <c r="D2150" s="9" t="s">
        <v>7241</v>
      </c>
      <c r="E2150" s="10" t="str">
        <f>HYPERLINK("https://twitter.com/MadridDirectoOM/status/1070719093081325568","1070719093081325568")</f>
        <v>1070719093081325568</v>
      </c>
      <c r="F2150" s="11" t="s">
        <v>7242</v>
      </c>
      <c r="G2150" s="11" t="s">
        <v>7243</v>
      </c>
      <c r="H2150" s="12"/>
      <c r="I2150" s="13">
        <v>1</v>
      </c>
      <c r="J2150" s="13">
        <v>0</v>
      </c>
      <c r="K2150" s="14" t="str">
        <f t="shared" si="378"/>
        <v>Twitter for Android</v>
      </c>
      <c r="L2150" s="13">
        <v>6117</v>
      </c>
      <c r="M2150" s="13">
        <v>5335</v>
      </c>
      <c r="N2150" s="13">
        <v>78</v>
      </c>
      <c r="O2150" s="15"/>
      <c r="P2150" s="6">
        <v>40886.460092592592</v>
      </c>
      <c r="Q2150" s="16" t="s">
        <v>7244</v>
      </c>
      <c r="R2150" s="17" t="s">
        <v>7245</v>
      </c>
      <c r="S2150" s="11" t="s">
        <v>7246</v>
      </c>
      <c r="T2150" s="12"/>
      <c r="U2150" s="10" t="str">
        <f>HYPERLINK("https://pbs.twimg.com/profile_images/906436869944160256/s5XoxWwd.jpg","View")</f>
        <v>View</v>
      </c>
    </row>
    <row r="2151" spans="1:21" ht="13.2">
      <c r="A2151" s="6">
        <v>43440.73474537037</v>
      </c>
      <c r="B2151" s="7" t="str">
        <f>HYPERLINK("https://twitter.com/qqqqetru","@qqqqetru")</f>
        <v>@qqqqetru</v>
      </c>
      <c r="C2151" s="8" t="s">
        <v>4545</v>
      </c>
      <c r="D2151" s="9" t="s">
        <v>7247</v>
      </c>
      <c r="E2151" s="10" t="str">
        <f>HYPERLINK("https://twitter.com/qqqqetru/status/1070719022302457856","1070719022302457856")</f>
        <v>1070719022302457856</v>
      </c>
      <c r="F2151" s="12"/>
      <c r="G2151" s="11" t="s">
        <v>7248</v>
      </c>
      <c r="H2151" s="12"/>
      <c r="I2151" s="13">
        <v>2</v>
      </c>
      <c r="J2151" s="13">
        <v>3</v>
      </c>
      <c r="K2151" s="14" t="str">
        <f t="shared" si="378"/>
        <v>Twitter for Android</v>
      </c>
      <c r="L2151" s="13">
        <v>649</v>
      </c>
      <c r="M2151" s="13">
        <v>1194</v>
      </c>
      <c r="N2151" s="13">
        <v>2</v>
      </c>
      <c r="O2151" s="15"/>
      <c r="P2151" s="6">
        <v>40749.437719907408</v>
      </c>
      <c r="Q2151" s="12"/>
      <c r="R2151" s="19"/>
      <c r="S2151" s="12"/>
      <c r="T2151" s="12"/>
      <c r="U2151" s="10" t="str">
        <f>HYPERLINK("https://pbs.twimg.com/profile_images/1069734331780870144/d_KYpBFy.jpg","View")</f>
        <v>View</v>
      </c>
    </row>
    <row r="2152" spans="1:21" ht="20.399999999999999">
      <c r="A2152" s="6">
        <v>43440.734050925923</v>
      </c>
      <c r="B2152" s="7" t="str">
        <f>HYPERLINK("https://twitter.com/EP_Mundo","@EP_Mundo")</f>
        <v>@EP_Mundo</v>
      </c>
      <c r="C2152" s="8" t="s">
        <v>735</v>
      </c>
      <c r="D2152" s="9" t="s">
        <v>2756</v>
      </c>
      <c r="E2152" s="10" t="str">
        <f>HYPERLINK("https://twitter.com/EP_Mundo/status/1070718770774200320","1070718770774200320")</f>
        <v>1070718770774200320</v>
      </c>
      <c r="F2152" s="11" t="s">
        <v>2757</v>
      </c>
      <c r="G2152" s="11" t="s">
        <v>7249</v>
      </c>
      <c r="H2152" s="12"/>
      <c r="I2152" s="13">
        <v>0</v>
      </c>
      <c r="J2152" s="13">
        <v>0</v>
      </c>
      <c r="K2152" s="14" t="str">
        <f>HYPERLINK("http://epmundo.com","Tuiteo TOP EP (2)")</f>
        <v>Tuiteo TOP EP (2)</v>
      </c>
      <c r="L2152" s="13">
        <v>510220</v>
      </c>
      <c r="M2152" s="13">
        <v>301867</v>
      </c>
      <c r="N2152" s="13">
        <v>1363</v>
      </c>
      <c r="O2152" s="15"/>
      <c r="P2152" s="6">
        <v>40203.223078703704</v>
      </c>
      <c r="Q2152" s="12"/>
      <c r="R2152" s="17" t="s">
        <v>739</v>
      </c>
      <c r="S2152" s="11" t="s">
        <v>740</v>
      </c>
      <c r="T2152" s="12"/>
      <c r="U2152" s="10" t="str">
        <f>HYPERLINK("https://pbs.twimg.com/profile_images/958329583778099200/87-xiuzB.jpg","View")</f>
        <v>View</v>
      </c>
    </row>
    <row r="2153" spans="1:21" ht="20.399999999999999">
      <c r="A2153" s="6">
        <v>43440.73265046296</v>
      </c>
      <c r="B2153" s="7" t="str">
        <f>HYPERLINK("https://twitter.com/ANIMASPIRIT","@ANIMASPIRIT")</f>
        <v>@ANIMASPIRIT</v>
      </c>
      <c r="C2153" s="8" t="s">
        <v>7250</v>
      </c>
      <c r="D2153" s="9" t="s">
        <v>7251</v>
      </c>
      <c r="E2153" s="10" t="str">
        <f>HYPERLINK("https://twitter.com/ANIMASPIRIT/status/1070718262915358720","1070718262915358720")</f>
        <v>1070718262915358720</v>
      </c>
      <c r="F2153" s="11" t="s">
        <v>7252</v>
      </c>
      <c r="G2153" s="12"/>
      <c r="H2153" s="12"/>
      <c r="I2153" s="13">
        <v>0</v>
      </c>
      <c r="J2153" s="13">
        <v>0</v>
      </c>
      <c r="K2153" s="14" t="str">
        <f>HYPERLINK("http://www.facebook.com/twitter","Facebook")</f>
        <v>Facebook</v>
      </c>
      <c r="L2153" s="13">
        <v>373</v>
      </c>
      <c r="M2153" s="13">
        <v>680</v>
      </c>
      <c r="N2153" s="13">
        <v>4</v>
      </c>
      <c r="O2153" s="15"/>
      <c r="P2153" s="6">
        <v>40409.554861111115</v>
      </c>
      <c r="Q2153" s="16" t="s">
        <v>228</v>
      </c>
      <c r="R2153" s="17" t="s">
        <v>7253</v>
      </c>
      <c r="S2153" s="12"/>
      <c r="T2153" s="12"/>
      <c r="U2153" s="10" t="str">
        <f>HYPERLINK("https://pbs.twimg.com/profile_images/480655525059645440/eQpTXXTa.jpeg","View")</f>
        <v>View</v>
      </c>
    </row>
    <row r="2154" spans="1:21" ht="20.399999999999999">
      <c r="A2154" s="6">
        <v>43440.732037037036</v>
      </c>
      <c r="B2154" s="7" t="str">
        <f>HYPERLINK("https://twitter.com/CristoFeliz1","@CristoFeliz1")</f>
        <v>@CristoFeliz1</v>
      </c>
      <c r="C2154" s="8" t="s">
        <v>646</v>
      </c>
      <c r="D2154" s="9" t="s">
        <v>7143</v>
      </c>
      <c r="E2154" s="10" t="str">
        <f>HYPERLINK("https://twitter.com/CristoFeliz1/status/1070718038612168705","1070718038612168705")</f>
        <v>1070718038612168705</v>
      </c>
      <c r="F2154" s="11" t="s">
        <v>7254</v>
      </c>
      <c r="G2154" s="11" t="s">
        <v>7255</v>
      </c>
      <c r="H2154" s="12"/>
      <c r="I2154" s="13">
        <v>0</v>
      </c>
      <c r="J2154" s="13">
        <v>0</v>
      </c>
      <c r="K2154" s="14" t="str">
        <f>HYPERLINK("https://dlvrit.com/","dlvr.it")</f>
        <v>dlvr.it</v>
      </c>
      <c r="L2154" s="13">
        <v>7015</v>
      </c>
      <c r="M2154" s="13">
        <v>7733</v>
      </c>
      <c r="N2154" s="13">
        <v>561</v>
      </c>
      <c r="O2154" s="15"/>
      <c r="P2154" s="6">
        <v>41186.866469907407</v>
      </c>
      <c r="Q2154" s="16" t="s">
        <v>630</v>
      </c>
      <c r="R2154" s="17" t="s">
        <v>649</v>
      </c>
      <c r="S2154" s="12"/>
      <c r="T2154" s="12"/>
      <c r="U2154" s="10" t="str">
        <f>HYPERLINK("https://pbs.twimg.com/profile_images/1002564938911703040/1Wvxy6Jm.jpg","View")</f>
        <v>View</v>
      </c>
    </row>
    <row r="2155" spans="1:21" ht="13.2">
      <c r="A2155" s="6">
        <v>43440.73055555555</v>
      </c>
      <c r="B2155" s="7" t="str">
        <f>HYPERLINK("https://twitter.com/Julianvirome","@Julianvirome")</f>
        <v>@Julianvirome</v>
      </c>
      <c r="C2155" s="8" t="s">
        <v>1034</v>
      </c>
      <c r="D2155" s="9" t="s">
        <v>7256</v>
      </c>
      <c r="E2155" s="10" t="str">
        <f>HYPERLINK("https://twitter.com/Julianvirome/status/1070717505444950022","1070717505444950022")</f>
        <v>1070717505444950022</v>
      </c>
      <c r="F2155" s="11" t="s">
        <v>7257</v>
      </c>
      <c r="G2155" s="12"/>
      <c r="H2155" s="12"/>
      <c r="I2155" s="13">
        <v>0</v>
      </c>
      <c r="J2155" s="13">
        <v>0</v>
      </c>
      <c r="K2155" s="14" t="str">
        <f>HYPERLINK("http://twitter.com/download/android","Twitter for Android")</f>
        <v>Twitter for Android</v>
      </c>
      <c r="L2155" s="13">
        <v>2630</v>
      </c>
      <c r="M2155" s="13">
        <v>4994</v>
      </c>
      <c r="N2155" s="13">
        <v>23</v>
      </c>
      <c r="O2155" s="15"/>
      <c r="P2155" s="6">
        <v>40630.875810185185</v>
      </c>
      <c r="Q2155" s="16" t="s">
        <v>200</v>
      </c>
      <c r="R2155" s="17" t="s">
        <v>1037</v>
      </c>
      <c r="S2155" s="12"/>
      <c r="T2155" s="12"/>
      <c r="U2155" s="10" t="str">
        <f>HYPERLINK("https://pbs.twimg.com/profile_images/1015475281803530241/aBROVKXy.jpg","View")</f>
        <v>View</v>
      </c>
    </row>
    <row r="2156" spans="1:21" ht="40.799999999999997">
      <c r="A2156" s="6">
        <v>43440.72923611111</v>
      </c>
      <c r="B2156" s="7" t="str">
        <f>HYPERLINK("https://twitter.com/lextresabogados","@lextresabogados")</f>
        <v>@lextresabogados</v>
      </c>
      <c r="C2156" s="8" t="s">
        <v>226</v>
      </c>
      <c r="D2156" s="9" t="s">
        <v>7258</v>
      </c>
      <c r="E2156" s="10" t="str">
        <f>HYPERLINK("https://twitter.com/lextresabogados/status/1070717026849689602","1070717026849689602")</f>
        <v>1070717026849689602</v>
      </c>
      <c r="F2156" s="11" t="s">
        <v>7259</v>
      </c>
      <c r="G2156" s="11" t="s">
        <v>7260</v>
      </c>
      <c r="H2156" s="12"/>
      <c r="I2156" s="13">
        <v>0</v>
      </c>
      <c r="J2156" s="13">
        <v>0</v>
      </c>
      <c r="K2156" s="14" t="str">
        <f>HYPERLINK("http://35.180.36.179","botize nueva")</f>
        <v>botize nueva</v>
      </c>
      <c r="L2156" s="13">
        <v>2912</v>
      </c>
      <c r="M2156" s="13">
        <v>3525</v>
      </c>
      <c r="N2156" s="13">
        <v>26</v>
      </c>
      <c r="O2156" s="15"/>
      <c r="P2156" s="6">
        <v>42880.770949074074</v>
      </c>
      <c r="Q2156" s="16" t="s">
        <v>230</v>
      </c>
      <c r="R2156" s="17" t="s">
        <v>231</v>
      </c>
      <c r="S2156" s="11" t="s">
        <v>232</v>
      </c>
      <c r="T2156" s="12"/>
      <c r="U2156" s="10" t="str">
        <f>HYPERLINK("https://pbs.twimg.com/profile_images/1068056978679898113/YnjKwiVy.jpg","View")</f>
        <v>View</v>
      </c>
    </row>
    <row r="2157" spans="1:21" ht="30.6">
      <c r="A2157" s="6">
        <v>43440.729224537034</v>
      </c>
      <c r="B2157" s="7" t="str">
        <f>HYPERLINK("https://twitter.com/JoseGarPal","@JoseGarPal")</f>
        <v>@JoseGarPal</v>
      </c>
      <c r="C2157" s="8" t="s">
        <v>7261</v>
      </c>
      <c r="D2157" s="9" t="s">
        <v>7262</v>
      </c>
      <c r="E2157" s="10" t="str">
        <f>HYPERLINK("https://twitter.com/JoseGarPal/status/1070717020822364161","1070717020822364161")</f>
        <v>1070717020822364161</v>
      </c>
      <c r="F2157" s="11" t="s">
        <v>7263</v>
      </c>
      <c r="G2157" s="11" t="s">
        <v>7264</v>
      </c>
      <c r="H2157" s="12"/>
      <c r="I2157" s="13">
        <v>0</v>
      </c>
      <c r="J2157" s="13">
        <v>0</v>
      </c>
      <c r="K2157" s="14" t="str">
        <f>HYPERLINK("https://dlvrit.com/","dlvr.it")</f>
        <v>dlvr.it</v>
      </c>
      <c r="L2157" s="13">
        <v>942</v>
      </c>
      <c r="M2157" s="13">
        <v>916</v>
      </c>
      <c r="N2157" s="13">
        <v>16</v>
      </c>
      <c r="O2157" s="15"/>
      <c r="P2157" s="6">
        <v>42176.146192129629</v>
      </c>
      <c r="Q2157" s="16" t="s">
        <v>7265</v>
      </c>
      <c r="R2157" s="17" t="s">
        <v>7266</v>
      </c>
      <c r="S2157" s="11" t="s">
        <v>7267</v>
      </c>
      <c r="T2157" s="12"/>
      <c r="U2157" s="10" t="str">
        <f>HYPERLINK("https://pbs.twimg.com/profile_images/612433715856216064/XY2xb4Y1.jpg","View")</f>
        <v>View</v>
      </c>
    </row>
    <row r="2158" spans="1:21" ht="40.799999999999997">
      <c r="A2158" s="6">
        <v>43440.729178240741</v>
      </c>
      <c r="B2158" s="7" t="str">
        <f>HYPERLINK("https://twitter.com/abc_es","@abc_es")</f>
        <v>@abc_es</v>
      </c>
      <c r="C2158" s="20" t="s">
        <v>375</v>
      </c>
      <c r="D2158" s="9" t="s">
        <v>7268</v>
      </c>
      <c r="E2158" s="10" t="str">
        <f>HYPERLINK("https://twitter.com/abc_es/status/1070717002703101954","1070717002703101954")</f>
        <v>1070717002703101954</v>
      </c>
      <c r="F2158" s="11" t="s">
        <v>7269</v>
      </c>
      <c r="G2158" s="11" t="s">
        <v>7270</v>
      </c>
      <c r="H2158" s="12"/>
      <c r="I2158" s="13">
        <v>0</v>
      </c>
      <c r="J2158" s="13">
        <v>1</v>
      </c>
      <c r="K2158" s="14" t="str">
        <f>HYPERLINK("https://dogtrack.es","DogTrack ABC")</f>
        <v>DogTrack ABC</v>
      </c>
      <c r="L2158" s="13">
        <v>1610206</v>
      </c>
      <c r="M2158" s="13">
        <v>15511</v>
      </c>
      <c r="N2158" s="13">
        <v>17149</v>
      </c>
      <c r="O2158" s="18" t="s">
        <v>41</v>
      </c>
      <c r="P2158" s="6">
        <v>39846.840682870374</v>
      </c>
      <c r="Q2158" s="16" t="s">
        <v>60</v>
      </c>
      <c r="R2158" s="17" t="s">
        <v>377</v>
      </c>
      <c r="S2158" s="11" t="s">
        <v>241</v>
      </c>
      <c r="T2158" s="12"/>
      <c r="U2158" s="10" t="str">
        <f>HYPERLINK("https://pbs.twimg.com/profile_images/1053638435309842432/s75OnwdY.jpg","View")</f>
        <v>View</v>
      </c>
    </row>
    <row r="2159" spans="1:21" ht="30.6">
      <c r="A2159" s="6">
        <v>43440.729166666672</v>
      </c>
      <c r="B2159" s="7" t="str">
        <f>HYPERLINK("https://twitter.com/laSextaTV","@laSextaTV")</f>
        <v>@laSextaTV</v>
      </c>
      <c r="C2159" s="8" t="s">
        <v>3737</v>
      </c>
      <c r="D2159" s="9" t="s">
        <v>7271</v>
      </c>
      <c r="E2159" s="10" t="str">
        <f>HYPERLINK("https://twitter.com/laSextaTV/status/1070717000886964224","1070717000886964224")</f>
        <v>1070717000886964224</v>
      </c>
      <c r="F2159" s="11" t="s">
        <v>7272</v>
      </c>
      <c r="G2159" s="12"/>
      <c r="H2159" s="12"/>
      <c r="I2159" s="13">
        <v>2</v>
      </c>
      <c r="J2159" s="13">
        <v>6</v>
      </c>
      <c r="K2159" s="14" t="str">
        <f>HYPERLINK("http://dogtrack.es","DogTrack_Oficial")</f>
        <v>DogTrack_Oficial</v>
      </c>
      <c r="L2159" s="13">
        <v>915225</v>
      </c>
      <c r="M2159" s="13">
        <v>307</v>
      </c>
      <c r="N2159" s="13">
        <v>5854</v>
      </c>
      <c r="O2159" s="18" t="s">
        <v>41</v>
      </c>
      <c r="P2159" s="6">
        <v>39877.804710648146</v>
      </c>
      <c r="Q2159" s="16" t="s">
        <v>119</v>
      </c>
      <c r="R2159" s="17" t="s">
        <v>3740</v>
      </c>
      <c r="S2159" s="11" t="s">
        <v>3741</v>
      </c>
      <c r="T2159" s="12"/>
      <c r="U2159" s="10" t="str">
        <f>HYPERLINK("https://pbs.twimg.com/profile_images/898966361426231296/0sS0RzFh.jpg","View")</f>
        <v>View</v>
      </c>
    </row>
    <row r="2160" spans="1:21" ht="40.799999999999997">
      <c r="A2160" s="6">
        <v>43440.728148148148</v>
      </c>
      <c r="B2160" s="7" t="str">
        <f>HYPERLINK("https://twitter.com/tio_chabo","@tio_chabo")</f>
        <v>@tio_chabo</v>
      </c>
      <c r="C2160" s="8" t="s">
        <v>5047</v>
      </c>
      <c r="D2160" s="9" t="s">
        <v>4696</v>
      </c>
      <c r="E2160" s="10" t="str">
        <f>HYPERLINK("https://twitter.com/tio_chabo/status/1070716631721103361","1070716631721103361")</f>
        <v>1070716631721103361</v>
      </c>
      <c r="F2160" s="11" t="s">
        <v>7273</v>
      </c>
      <c r="G2160" s="12"/>
      <c r="H2160" s="12"/>
      <c r="I2160" s="13">
        <v>0</v>
      </c>
      <c r="J2160" s="13">
        <v>0</v>
      </c>
      <c r="K2160" s="14" t="str">
        <f>HYPERLINK("https://ifttt.com","IFTTT")</f>
        <v>IFTTT</v>
      </c>
      <c r="L2160" s="13">
        <v>3112</v>
      </c>
      <c r="M2160" s="13">
        <v>3722</v>
      </c>
      <c r="N2160" s="13">
        <v>68</v>
      </c>
      <c r="O2160" s="15"/>
      <c r="P2160" s="6">
        <v>40964.769629629627</v>
      </c>
      <c r="Q2160" s="16" t="s">
        <v>5050</v>
      </c>
      <c r="R2160" s="17" t="s">
        <v>5051</v>
      </c>
      <c r="S2160" s="11" t="s">
        <v>5052</v>
      </c>
      <c r="T2160" s="12"/>
      <c r="U2160" s="10" t="str">
        <f>HYPERLINK("https://pbs.twimg.com/profile_images/837040061870833666/XUkKbbB4.jpg","View")</f>
        <v>View</v>
      </c>
    </row>
    <row r="2161" spans="1:21" ht="20.399999999999999">
      <c r="A2161" s="6">
        <v>43440.726909722223</v>
      </c>
      <c r="B2161" s="7" t="str">
        <f>HYPERLINK("https://twitter.com/enricercos","@enricercos")</f>
        <v>@enricercos</v>
      </c>
      <c r="C2161" s="8" t="s">
        <v>7274</v>
      </c>
      <c r="D2161" s="9" t="s">
        <v>7275</v>
      </c>
      <c r="E2161" s="10" t="str">
        <f>HYPERLINK("https://twitter.com/enricercos/status/1070716182255292416","1070716182255292416")</f>
        <v>1070716182255292416</v>
      </c>
      <c r="F2161" s="11" t="s">
        <v>7276</v>
      </c>
      <c r="G2161" s="12"/>
      <c r="H2161" s="12"/>
      <c r="I2161" s="13">
        <v>0</v>
      </c>
      <c r="J2161" s="13">
        <v>0</v>
      </c>
      <c r="K2161" s="14" t="str">
        <f t="shared" ref="K2161:K2162" si="379">HYPERLINK("http://twitter.com/download/android","Twitter for Android")</f>
        <v>Twitter for Android</v>
      </c>
      <c r="L2161" s="13">
        <v>150</v>
      </c>
      <c r="M2161" s="13">
        <v>121</v>
      </c>
      <c r="N2161" s="13">
        <v>0</v>
      </c>
      <c r="O2161" s="15"/>
      <c r="P2161" s="6">
        <v>43010.690763888888</v>
      </c>
      <c r="Q2161" s="16" t="s">
        <v>5538</v>
      </c>
      <c r="R2161" s="19"/>
      <c r="S2161" s="12"/>
      <c r="T2161" s="12"/>
      <c r="U2161" s="10" t="str">
        <f>HYPERLINK("https://pbs.twimg.com/profile_images/979094627780321280/fVxjiepZ.jpg","View")</f>
        <v>View</v>
      </c>
    </row>
    <row r="2162" spans="1:21" ht="40.799999999999997">
      <c r="A2162" s="6">
        <v>43440.726168981477</v>
      </c>
      <c r="B2162" s="7" t="str">
        <f>HYPERLINK("https://twitter.com/commiewhiskas","@commiewhiskas")</f>
        <v>@commiewhiskas</v>
      </c>
      <c r="C2162" s="8" t="s">
        <v>7277</v>
      </c>
      <c r="D2162" s="9" t="s">
        <v>7278</v>
      </c>
      <c r="E2162" s="10" t="str">
        <f>HYPERLINK("https://twitter.com/commiewhiskas/status/1070715916109996038","1070715916109996038")</f>
        <v>1070715916109996038</v>
      </c>
      <c r="F2162" s="12"/>
      <c r="G2162" s="12"/>
      <c r="H2162" s="12"/>
      <c r="I2162" s="13">
        <v>4</v>
      </c>
      <c r="J2162" s="13">
        <v>11</v>
      </c>
      <c r="K2162" s="14" t="str">
        <f t="shared" si="379"/>
        <v>Twitter for Android</v>
      </c>
      <c r="L2162" s="13">
        <v>134</v>
      </c>
      <c r="M2162" s="13">
        <v>524</v>
      </c>
      <c r="N2162" s="13">
        <v>0</v>
      </c>
      <c r="O2162" s="15"/>
      <c r="P2162" s="6">
        <v>43385.396585648152</v>
      </c>
      <c r="Q2162" s="12"/>
      <c r="R2162" s="17" t="s">
        <v>7279</v>
      </c>
      <c r="S2162" s="12"/>
      <c r="T2162" s="12"/>
      <c r="U2162" s="10" t="str">
        <f>HYPERLINK("https://pbs.twimg.com/profile_images/1070750145724252161/A4PsLdJX.jpg","View")</f>
        <v>View</v>
      </c>
    </row>
    <row r="2163" spans="1:21" ht="30.6">
      <c r="A2163" s="6">
        <v>43440.725798611107</v>
      </c>
      <c r="B2163" s="7" t="str">
        <f>HYPERLINK("https://twitter.com/marymar_ub","@marymar_ub")</f>
        <v>@marymar_ub</v>
      </c>
      <c r="C2163" s="8" t="s">
        <v>7280</v>
      </c>
      <c r="D2163" s="9" t="s">
        <v>7281</v>
      </c>
      <c r="E2163" s="10" t="str">
        <f>HYPERLINK("https://twitter.com/marymar_ub/status/1070715780436758533","1070715780436758533")</f>
        <v>1070715780436758533</v>
      </c>
      <c r="F2163" s="11" t="s">
        <v>4815</v>
      </c>
      <c r="G2163" s="12"/>
      <c r="H2163" s="12"/>
      <c r="I2163" s="13">
        <v>0</v>
      </c>
      <c r="J2163" s="13">
        <v>0</v>
      </c>
      <c r="K2163" s="14" t="str">
        <f>HYPERLINK("http://twitter.com","Twitter Web Client")</f>
        <v>Twitter Web Client</v>
      </c>
      <c r="L2163" s="13">
        <v>1698</v>
      </c>
      <c r="M2163" s="13">
        <v>2162</v>
      </c>
      <c r="N2163" s="13">
        <v>15</v>
      </c>
      <c r="O2163" s="15"/>
      <c r="P2163" s="6">
        <v>40941.555763888886</v>
      </c>
      <c r="Q2163" s="12"/>
      <c r="R2163" s="21" t="s">
        <v>7282</v>
      </c>
      <c r="S2163" s="12"/>
      <c r="T2163" s="12"/>
      <c r="U2163" s="10" t="str">
        <f>HYPERLINK("https://pbs.twimg.com/profile_images/1024307030708969472/h0X_khAE.jpg","View")</f>
        <v>View</v>
      </c>
    </row>
    <row r="2164" spans="1:21" ht="81.599999999999994">
      <c r="A2164" s="6">
        <v>43440.725335648152</v>
      </c>
      <c r="B2164" s="7" t="str">
        <f>HYPERLINK("https://twitter.com/AleLimon","@AleLimon")</f>
        <v>@AleLimon</v>
      </c>
      <c r="C2164" s="8" t="s">
        <v>7283</v>
      </c>
      <c r="D2164" s="9" t="s">
        <v>7284</v>
      </c>
      <c r="E2164" s="10" t="str">
        <f>HYPERLINK("https://twitter.com/AleLimon/status/1070715609971900416","1070715609971900416")</f>
        <v>1070715609971900416</v>
      </c>
      <c r="F2164" s="11" t="s">
        <v>6464</v>
      </c>
      <c r="G2164" s="11" t="s">
        <v>6465</v>
      </c>
      <c r="H2164" s="12"/>
      <c r="I2164" s="13">
        <v>0</v>
      </c>
      <c r="J2164" s="13">
        <v>0</v>
      </c>
      <c r="K2164" s="14" t="str">
        <f>HYPERLINK("http://twitter.com/download/iphone","Twitter for iPhone")</f>
        <v>Twitter for iPhone</v>
      </c>
      <c r="L2164" s="13">
        <v>1660</v>
      </c>
      <c r="M2164" s="13">
        <v>618</v>
      </c>
      <c r="N2164" s="13">
        <v>31</v>
      </c>
      <c r="O2164" s="15"/>
      <c r="P2164" s="6">
        <v>40069.259849537033</v>
      </c>
      <c r="Q2164" s="12"/>
      <c r="R2164" s="17" t="s">
        <v>7285</v>
      </c>
      <c r="S2164" s="12"/>
      <c r="T2164" s="12"/>
      <c r="U2164" s="10" t="str">
        <f>HYPERLINK("https://pbs.twimg.com/profile_images/1004417397120487424/N84Szz4A.jpg","View")</f>
        <v>View</v>
      </c>
    </row>
    <row r="2165" spans="1:21" ht="30.6">
      <c r="A2165" s="6">
        <v>43440.724872685183</v>
      </c>
      <c r="B2165" s="7" t="str">
        <f>HYPERLINK("https://twitter.com/Secuplastike","@Secuplastike")</f>
        <v>@Secuplastike</v>
      </c>
      <c r="C2165" s="8" t="s">
        <v>7286</v>
      </c>
      <c r="D2165" s="9" t="s">
        <v>7287</v>
      </c>
      <c r="E2165" s="10" t="str">
        <f>HYPERLINK("https://twitter.com/Secuplastike/status/1070715442451439618","1070715442451439618")</f>
        <v>1070715442451439618</v>
      </c>
      <c r="F2165" s="11" t="s">
        <v>7288</v>
      </c>
      <c r="G2165" s="12"/>
      <c r="H2165" s="12"/>
      <c r="I2165" s="13">
        <v>0</v>
      </c>
      <c r="J2165" s="13">
        <v>0</v>
      </c>
      <c r="K2165" s="14" t="str">
        <f>HYPERLINK("https://www.google.com/","Google")</f>
        <v>Google</v>
      </c>
      <c r="L2165" s="13">
        <v>29</v>
      </c>
      <c r="M2165" s="13">
        <v>33</v>
      </c>
      <c r="N2165" s="13">
        <v>6</v>
      </c>
      <c r="O2165" s="15"/>
      <c r="P2165" s="6">
        <v>41648.989502314813</v>
      </c>
      <c r="Q2165" s="12"/>
      <c r="R2165" s="17" t="s">
        <v>7289</v>
      </c>
      <c r="S2165" s="11" t="s">
        <v>7290</v>
      </c>
      <c r="T2165" s="12"/>
      <c r="U2165" s="10" t="str">
        <f>HYPERLINK("https://pbs.twimg.com/profile_images/424215833389178880/J1WC_GCR.jpeg","View")</f>
        <v>View</v>
      </c>
    </row>
    <row r="2166" spans="1:21" ht="51">
      <c r="A2166" s="6">
        <v>43440.722696759258</v>
      </c>
      <c r="B2166" s="7" t="str">
        <f>HYPERLINK("https://twitter.com/AndradeSierraAS","@AndradeSierraAS")</f>
        <v>@AndradeSierraAS</v>
      </c>
      <c r="C2166" s="8" t="s">
        <v>7291</v>
      </c>
      <c r="D2166" s="9" t="s">
        <v>7292</v>
      </c>
      <c r="E2166" s="10" t="str">
        <f>HYPERLINK("https://twitter.com/AndradeSierraAS/status/1070714657680318464","1070714657680318464")</f>
        <v>1070714657680318464</v>
      </c>
      <c r="F2166" s="12"/>
      <c r="G2166" s="12"/>
      <c r="H2166" s="12"/>
      <c r="I2166" s="13">
        <v>0</v>
      </c>
      <c r="J2166" s="13">
        <v>0</v>
      </c>
      <c r="K2166" s="14" t="str">
        <f>HYPERLINK("http://twitter.com/download/android","Twitter for Android")</f>
        <v>Twitter for Android</v>
      </c>
      <c r="L2166" s="13">
        <v>813</v>
      </c>
      <c r="M2166" s="13">
        <v>1785</v>
      </c>
      <c r="N2166" s="13">
        <v>1</v>
      </c>
      <c r="O2166" s="15"/>
      <c r="P2166" s="6">
        <v>42507.99490740741</v>
      </c>
      <c r="Q2166" s="12"/>
      <c r="R2166" s="17" t="s">
        <v>7293</v>
      </c>
      <c r="S2166" s="12"/>
      <c r="T2166" s="12"/>
      <c r="U2166" s="10" t="str">
        <f>HYPERLINK("https://pbs.twimg.com/profile_images/732691903007862798/UDNJpu7u.jpg","View")</f>
        <v>View</v>
      </c>
    </row>
    <row r="2167" spans="1:21" ht="20.399999999999999">
      <c r="A2167" s="6">
        <v>43440.722222222219</v>
      </c>
      <c r="B2167" s="7" t="str">
        <f>HYPERLINK("https://twitter.com/pacomarhuenda","@pacomarhuenda")</f>
        <v>@pacomarhuenda</v>
      </c>
      <c r="C2167" s="8" t="s">
        <v>5168</v>
      </c>
      <c r="D2167" s="9" t="s">
        <v>6741</v>
      </c>
      <c r="E2167" s="10" t="str">
        <f>HYPERLINK("https://twitter.com/pacomarhuenda/status/1070714485395128320","1070714485395128320")</f>
        <v>1070714485395128320</v>
      </c>
      <c r="F2167" s="11" t="s">
        <v>6742</v>
      </c>
      <c r="G2167" s="11" t="s">
        <v>6743</v>
      </c>
      <c r="H2167" s="12"/>
      <c r="I2167" s="13">
        <v>2</v>
      </c>
      <c r="J2167" s="13">
        <v>2</v>
      </c>
      <c r="K2167" s="14" t="str">
        <f>HYPERLINK("http://dogtrack.es","DogTrack_Oficial")</f>
        <v>DogTrack_Oficial</v>
      </c>
      <c r="L2167" s="13">
        <v>214769</v>
      </c>
      <c r="M2167" s="13">
        <v>58</v>
      </c>
      <c r="N2167" s="13">
        <v>2180</v>
      </c>
      <c r="O2167" s="18" t="s">
        <v>41</v>
      </c>
      <c r="P2167" s="6">
        <v>40683.523981481485</v>
      </c>
      <c r="Q2167" s="16" t="s">
        <v>60</v>
      </c>
      <c r="R2167" s="17" t="s">
        <v>5175</v>
      </c>
      <c r="S2167" s="11" t="s">
        <v>986</v>
      </c>
      <c r="T2167" s="12"/>
      <c r="U2167" s="10" t="str">
        <f>HYPERLINK("https://pbs.twimg.com/profile_images/1362275942/director_recortada.jpg","View")</f>
        <v>View</v>
      </c>
    </row>
    <row r="2168" spans="1:21" ht="40.799999999999997">
      <c r="A2168" s="6">
        <v>43440.721006944441</v>
      </c>
      <c r="B2168" s="7" t="str">
        <f>HYPERLINK("https://twitter.com/CIUDADANO72","@CIUDADANO72")</f>
        <v>@CIUDADANO72</v>
      </c>
      <c r="C2168" s="8" t="s">
        <v>7294</v>
      </c>
      <c r="D2168" s="9" t="s">
        <v>7295</v>
      </c>
      <c r="E2168" s="10" t="str">
        <f>HYPERLINK("https://twitter.com/CIUDADANO72/status/1070714045148356608","1070714045148356608")</f>
        <v>1070714045148356608</v>
      </c>
      <c r="F2168" s="11" t="s">
        <v>2214</v>
      </c>
      <c r="G2168" s="12"/>
      <c r="H2168" s="12"/>
      <c r="I2168" s="13">
        <v>0</v>
      </c>
      <c r="J2168" s="13">
        <v>0</v>
      </c>
      <c r="K2168" s="14" t="str">
        <f>HYPERLINK("http://twitter.com/download/android","Twitter for Android")</f>
        <v>Twitter for Android</v>
      </c>
      <c r="L2168" s="13">
        <v>725</v>
      </c>
      <c r="M2168" s="13">
        <v>722</v>
      </c>
      <c r="N2168" s="13">
        <v>24</v>
      </c>
      <c r="O2168" s="15"/>
      <c r="P2168" s="6">
        <v>40217.831504629634</v>
      </c>
      <c r="Q2168" s="16" t="s">
        <v>4079</v>
      </c>
      <c r="R2168" s="17" t="s">
        <v>7296</v>
      </c>
      <c r="S2168" s="12"/>
      <c r="T2168" s="12"/>
      <c r="U2168" s="10" t="str">
        <f>HYPERLINK("https://pbs.twimg.com/profile_images/1047082739592306690/X1BAfa3r.jpg","View")</f>
        <v>View</v>
      </c>
    </row>
    <row r="2169" spans="1:21" ht="20.399999999999999">
      <c r="A2169" s="6">
        <v>43440.720902777779</v>
      </c>
      <c r="B2169" s="7" t="str">
        <f>HYPERLINK("https://twitter.com/ECEspana","@ECEspana")</f>
        <v>@ECEspana</v>
      </c>
      <c r="C2169" s="8" t="s">
        <v>418</v>
      </c>
      <c r="D2169" s="9" t="s">
        <v>7297</v>
      </c>
      <c r="E2169" s="10" t="str">
        <f>HYPERLINK("https://twitter.com/ECEspana/status/1070714003633037312","1070714003633037312")</f>
        <v>1070714003633037312</v>
      </c>
      <c r="F2169" s="11" t="s">
        <v>7298</v>
      </c>
      <c r="G2169" s="12"/>
      <c r="H2169" s="12"/>
      <c r="I2169" s="13">
        <v>1</v>
      </c>
      <c r="J2169" s="13">
        <v>0</v>
      </c>
      <c r="K2169" s="14" t="str">
        <f>HYPERLINK("https://dlvrit.com/","dlvr.it")</f>
        <v>dlvr.it</v>
      </c>
      <c r="L2169" s="13">
        <v>1894</v>
      </c>
      <c r="M2169" s="13">
        <v>91</v>
      </c>
      <c r="N2169" s="13">
        <v>83</v>
      </c>
      <c r="O2169" s="15"/>
      <c r="P2169" s="6">
        <v>42291.784953703704</v>
      </c>
      <c r="Q2169" s="16" t="s">
        <v>26</v>
      </c>
      <c r="R2169" s="17" t="s">
        <v>421</v>
      </c>
      <c r="S2169" s="11" t="s">
        <v>422</v>
      </c>
      <c r="T2169" s="12"/>
      <c r="U2169" s="10" t="str">
        <f>HYPERLINK("https://pbs.twimg.com/profile_images/831789838693183488/XYTdUPcP.jpg","View")</f>
        <v>View</v>
      </c>
    </row>
    <row r="2170" spans="1:21" ht="20.399999999999999">
      <c r="A2170" s="6">
        <v>43440.719872685186</v>
      </c>
      <c r="B2170" s="7" t="str">
        <f>HYPERLINK("https://twitter.com/jorgegeorgejagi","@jorgegeorgejagi")</f>
        <v>@jorgegeorgejagi</v>
      </c>
      <c r="C2170" s="8" t="s">
        <v>6747</v>
      </c>
      <c r="D2170" s="9" t="s">
        <v>6748</v>
      </c>
      <c r="E2170" s="10" t="str">
        <f>HYPERLINK("https://twitter.com/jorgegeorgejagi/status/1070713630855966720","1070713630855966720")</f>
        <v>1070713630855966720</v>
      </c>
      <c r="F2170" s="11" t="s">
        <v>6640</v>
      </c>
      <c r="G2170" s="12"/>
      <c r="H2170" s="12"/>
      <c r="I2170" s="13">
        <v>0</v>
      </c>
      <c r="J2170" s="13">
        <v>0</v>
      </c>
      <c r="K2170" s="14" t="str">
        <f>HYPERLINK("http://twitter.com/download/android","Twitter for Android")</f>
        <v>Twitter for Android</v>
      </c>
      <c r="L2170" s="13">
        <v>574</v>
      </c>
      <c r="M2170" s="13">
        <v>2477</v>
      </c>
      <c r="N2170" s="13">
        <v>0</v>
      </c>
      <c r="O2170" s="15"/>
      <c r="P2170" s="6">
        <v>39962.794386574074</v>
      </c>
      <c r="Q2170" s="16" t="s">
        <v>6749</v>
      </c>
      <c r="R2170" s="19"/>
      <c r="S2170" s="12"/>
      <c r="T2170" s="12"/>
      <c r="U2170" s="10" t="str">
        <f>HYPERLINK("https://pbs.twimg.com/profile_images/1057410459656220673/cbwyKnjD.jpg","View")</f>
        <v>View</v>
      </c>
    </row>
    <row r="2171" spans="1:21" ht="20.399999999999999">
      <c r="A2171" s="6">
        <v>43440.719247685185</v>
      </c>
      <c r="B2171" s="7" t="str">
        <f>HYPERLINK("https://twitter.com/sumariumcom","@sumariumcom")</f>
        <v>@sumariumcom</v>
      </c>
      <c r="C2171" s="8" t="s">
        <v>4525</v>
      </c>
      <c r="D2171" s="9" t="s">
        <v>4680</v>
      </c>
      <c r="E2171" s="10" t="str">
        <f>HYPERLINK("https://twitter.com/sumariumcom/status/1070713403755425794","1070713403755425794")</f>
        <v>1070713403755425794</v>
      </c>
      <c r="F2171" s="11" t="s">
        <v>6113</v>
      </c>
      <c r="G2171" s="11" t="s">
        <v>6114</v>
      </c>
      <c r="H2171" s="12"/>
      <c r="I2171" s="13">
        <v>1</v>
      </c>
      <c r="J2171" s="13">
        <v>1</v>
      </c>
      <c r="K2171" s="14" t="str">
        <f>HYPERLINK("https://about.twitter.com/products/tweetdeck","TweetDeck")</f>
        <v>TweetDeck</v>
      </c>
      <c r="L2171" s="13">
        <v>164401</v>
      </c>
      <c r="M2171" s="13">
        <v>996</v>
      </c>
      <c r="N2171" s="13">
        <v>1122</v>
      </c>
      <c r="O2171" s="15"/>
      <c r="P2171" s="6">
        <v>40977.809594907405</v>
      </c>
      <c r="Q2171" s="16" t="s">
        <v>4529</v>
      </c>
      <c r="R2171" s="19"/>
      <c r="S2171" s="11" t="s">
        <v>4530</v>
      </c>
      <c r="T2171" s="12"/>
      <c r="U2171" s="10" t="str">
        <f>HYPERLINK("https://pbs.twimg.com/profile_images/1061987847874469888/mok5IDTt.jpg","View")</f>
        <v>View</v>
      </c>
    </row>
    <row r="2172" spans="1:21" ht="30.6">
      <c r="A2172" s="6">
        <v>43440.71875</v>
      </c>
      <c r="B2172" s="7" t="str">
        <f>HYPERLINK("https://twitter.com/sextaNoticias","@sextaNoticias")</f>
        <v>@sextaNoticias</v>
      </c>
      <c r="C2172" s="8" t="s">
        <v>3791</v>
      </c>
      <c r="D2172" s="9" t="s">
        <v>7299</v>
      </c>
      <c r="E2172" s="10" t="str">
        <f>HYPERLINK("https://twitter.com/sextaNoticias/status/1070713224134320128","1070713224134320128")</f>
        <v>1070713224134320128</v>
      </c>
      <c r="F2172" s="11" t="s">
        <v>7300</v>
      </c>
      <c r="G2172" s="12"/>
      <c r="H2172" s="12"/>
      <c r="I2172" s="13">
        <v>1</v>
      </c>
      <c r="J2172" s="13">
        <v>5</v>
      </c>
      <c r="K2172" s="14" t="str">
        <f>HYPERLINK("http://dogtrack.es","DogTrack_Oficial")</f>
        <v>DogTrack_Oficial</v>
      </c>
      <c r="L2172" s="13">
        <v>1112667</v>
      </c>
      <c r="M2172" s="13">
        <v>279</v>
      </c>
      <c r="N2172" s="13">
        <v>7291</v>
      </c>
      <c r="O2172" s="18" t="s">
        <v>41</v>
      </c>
      <c r="P2172" s="6">
        <v>40099.614328703705</v>
      </c>
      <c r="Q2172" s="12"/>
      <c r="R2172" s="17" t="s">
        <v>3793</v>
      </c>
      <c r="S2172" s="11" t="s">
        <v>3794</v>
      </c>
      <c r="T2172" s="12"/>
      <c r="U2172" s="10" t="str">
        <f>HYPERLINK("https://pbs.twimg.com/profile_images/898970208551022592/hh3ITSK-.jpg","View")</f>
        <v>View</v>
      </c>
    </row>
    <row r="2173" spans="1:21" ht="20.399999999999999">
      <c r="A2173" s="6">
        <v>43440.717835648145</v>
      </c>
      <c r="B2173" s="7" t="str">
        <f>HYPERLINK("https://twitter.com/BattiatoLa","@BattiatoLa")</f>
        <v>@BattiatoLa</v>
      </c>
      <c r="C2173" s="8" t="s">
        <v>7301</v>
      </c>
      <c r="D2173" s="9" t="s">
        <v>7302</v>
      </c>
      <c r="E2173" s="10" t="str">
        <f>HYPERLINK("https://twitter.com/BattiatoLa/status/1070712895061835778","1070712895061835778")</f>
        <v>1070712895061835778</v>
      </c>
      <c r="F2173" s="12"/>
      <c r="G2173" s="11" t="s">
        <v>7303</v>
      </c>
      <c r="H2173" s="12"/>
      <c r="I2173" s="13">
        <v>0</v>
      </c>
      <c r="J2173" s="13">
        <v>2</v>
      </c>
      <c r="K2173" s="14" t="str">
        <f>HYPERLINK("http://twitter.com/download/android","Twitter for Android")</f>
        <v>Twitter for Android</v>
      </c>
      <c r="L2173" s="13">
        <v>176</v>
      </c>
      <c r="M2173" s="13">
        <v>81</v>
      </c>
      <c r="N2173" s="13">
        <v>3</v>
      </c>
      <c r="O2173" s="15"/>
      <c r="P2173" s="6">
        <v>42503.316388888888</v>
      </c>
      <c r="Q2173" s="16" t="s">
        <v>7304</v>
      </c>
      <c r="R2173" s="17" t="s">
        <v>7305</v>
      </c>
      <c r="S2173" s="12"/>
      <c r="T2173" s="12"/>
      <c r="U2173" s="10" t="str">
        <f>HYPERLINK("https://pbs.twimg.com/profile_images/730997129099935744/-kYfojvY.jpg","View")</f>
        <v>View</v>
      </c>
    </row>
    <row r="2174" spans="1:21" ht="102">
      <c r="A2174" s="6">
        <v>43440.717199074075</v>
      </c>
      <c r="B2174" s="7" t="str">
        <f>HYPERLINK("https://twitter.com/masanber2804","@masanber2804")</f>
        <v>@masanber2804</v>
      </c>
      <c r="C2174" s="8" t="s">
        <v>7306</v>
      </c>
      <c r="D2174" s="9" t="s">
        <v>7307</v>
      </c>
      <c r="E2174" s="10" t="str">
        <f>HYPERLINK("https://twitter.com/masanber2804/status/1070712663683010560","1070712663683010560")</f>
        <v>1070712663683010560</v>
      </c>
      <c r="F2174" s="11" t="s">
        <v>7308</v>
      </c>
      <c r="G2174" s="12"/>
      <c r="H2174" s="12"/>
      <c r="I2174" s="13">
        <v>0</v>
      </c>
      <c r="J2174" s="13">
        <v>0</v>
      </c>
      <c r="K2174" s="14" t="str">
        <f>HYPERLINK("http://twitter.com/download/iphone","Twitter for iPhone")</f>
        <v>Twitter for iPhone</v>
      </c>
      <c r="L2174" s="13">
        <v>140</v>
      </c>
      <c r="M2174" s="13">
        <v>298</v>
      </c>
      <c r="N2174" s="13">
        <v>5</v>
      </c>
      <c r="O2174" s="15"/>
      <c r="P2174" s="6">
        <v>40629.944594907407</v>
      </c>
      <c r="Q2174" s="16" t="s">
        <v>60</v>
      </c>
      <c r="R2174" s="17" t="s">
        <v>7309</v>
      </c>
      <c r="S2174" s="12"/>
      <c r="T2174" s="12"/>
      <c r="U2174" s="10" t="str">
        <f>HYPERLINK("https://pbs.twimg.com/profile_images/976451741901295621/V_Rlebbl.jpg","View")</f>
        <v>View</v>
      </c>
    </row>
    <row r="2175" spans="1:21" ht="51">
      <c r="A2175" s="6">
        <v>43440.71607638889</v>
      </c>
      <c r="B2175" s="7" t="str">
        <f>HYPERLINK("https://twitter.com/Sevilla24H","@Sevilla24H")</f>
        <v>@Sevilla24H</v>
      </c>
      <c r="C2175" s="8" t="s">
        <v>4493</v>
      </c>
      <c r="D2175" s="9" t="s">
        <v>7310</v>
      </c>
      <c r="E2175" s="10" t="str">
        <f>HYPERLINK("https://twitter.com/Sevilla24H/status/1070712258290991104","1070712258290991104")</f>
        <v>1070712258290991104</v>
      </c>
      <c r="F2175" s="11" t="s">
        <v>7311</v>
      </c>
      <c r="G2175" s="12"/>
      <c r="H2175" s="12"/>
      <c r="I2175" s="13">
        <v>0</v>
      </c>
      <c r="J2175" s="13">
        <v>0</v>
      </c>
      <c r="K2175" s="14" t="str">
        <f>HYPERLINK("https://ifttt.com","IFTTT")</f>
        <v>IFTTT</v>
      </c>
      <c r="L2175" s="13">
        <v>511</v>
      </c>
      <c r="M2175" s="13">
        <v>750</v>
      </c>
      <c r="N2175" s="13">
        <v>11</v>
      </c>
      <c r="O2175" s="15"/>
      <c r="P2175" s="6">
        <v>41294.599583333329</v>
      </c>
      <c r="Q2175" s="16" t="s">
        <v>3630</v>
      </c>
      <c r="R2175" s="17" t="s">
        <v>4496</v>
      </c>
      <c r="S2175" s="11" t="s">
        <v>4497</v>
      </c>
      <c r="T2175" s="12"/>
      <c r="U2175" s="10" t="str">
        <f>HYPERLINK("https://pbs.twimg.com/profile_images/833777334108975104/fgeZLBXg.jpg","View")</f>
        <v>View</v>
      </c>
    </row>
    <row r="2176" spans="1:21" ht="30.6">
      <c r="A2176" s="6">
        <v>43440.71597222222</v>
      </c>
      <c r="B2176" s="7" t="str">
        <f>HYPERLINK("https://twitter.com/felicubero","@felicubero")</f>
        <v>@felicubero</v>
      </c>
      <c r="C2176" s="8" t="s">
        <v>7312</v>
      </c>
      <c r="D2176" s="9" t="s">
        <v>7313</v>
      </c>
      <c r="E2176" s="10" t="str">
        <f>HYPERLINK("https://twitter.com/felicubero/status/1070712219523051521","1070712219523051521")</f>
        <v>1070712219523051521</v>
      </c>
      <c r="F2176" s="11" t="s">
        <v>4628</v>
      </c>
      <c r="G2176" s="12"/>
      <c r="H2176" s="12"/>
      <c r="I2176" s="13">
        <v>0</v>
      </c>
      <c r="J2176" s="13">
        <v>0</v>
      </c>
      <c r="K2176" s="14" t="str">
        <f>HYPERLINK("http://twitter.com/download/android","Twitter for Android")</f>
        <v>Twitter for Android</v>
      </c>
      <c r="L2176" s="13">
        <v>33</v>
      </c>
      <c r="M2176" s="13">
        <v>39</v>
      </c>
      <c r="N2176" s="13">
        <v>0</v>
      </c>
      <c r="O2176" s="15"/>
      <c r="P2176" s="6">
        <v>40521.973194444443</v>
      </c>
      <c r="Q2176" s="16" t="s">
        <v>372</v>
      </c>
      <c r="R2176" s="19"/>
      <c r="S2176" s="12"/>
      <c r="T2176" s="12"/>
      <c r="U2176" s="10" t="str">
        <f>HYPERLINK("https://pbs.twimg.com/profile_images/1186708343/feli3.JPG","View")</f>
        <v>View</v>
      </c>
    </row>
    <row r="2177" spans="1:21" ht="30.6">
      <c r="A2177" s="6">
        <v>43440.715462962966</v>
      </c>
      <c r="B2177" s="7" t="str">
        <f>HYPERLINK("https://twitter.com/TerminatorFern","@TerminatorFern")</f>
        <v>@TerminatorFern</v>
      </c>
      <c r="C2177" s="8" t="s">
        <v>4601</v>
      </c>
      <c r="D2177" s="9" t="s">
        <v>7314</v>
      </c>
      <c r="E2177" s="10" t="str">
        <f>HYPERLINK("https://twitter.com/TerminatorFern/status/1070712033128185857","1070712033128185857")</f>
        <v>1070712033128185857</v>
      </c>
      <c r="F2177" s="11" t="s">
        <v>7315</v>
      </c>
      <c r="G2177" s="12"/>
      <c r="H2177" s="12"/>
      <c r="I2177" s="13">
        <v>0</v>
      </c>
      <c r="J2177" s="13">
        <v>0</v>
      </c>
      <c r="K2177" s="14" t="str">
        <f>HYPERLINK("https://buffer.com","Buffer")</f>
        <v>Buffer</v>
      </c>
      <c r="L2177" s="13">
        <v>728</v>
      </c>
      <c r="M2177" s="13">
        <v>2010</v>
      </c>
      <c r="N2177" s="13">
        <v>6</v>
      </c>
      <c r="O2177" s="15"/>
      <c r="P2177" s="6">
        <v>42204.513877314814</v>
      </c>
      <c r="Q2177" s="16" t="s">
        <v>4604</v>
      </c>
      <c r="R2177" s="17" t="s">
        <v>4605</v>
      </c>
      <c r="S2177" s="12"/>
      <c r="T2177" s="12"/>
      <c r="U2177" s="10" t="str">
        <f>HYPERLINK("https://pbs.twimg.com/profile_images/745303274463563777/GyIW12w_.jpg","View")</f>
        <v>View</v>
      </c>
    </row>
    <row r="2178" spans="1:21" ht="20.399999999999999">
      <c r="A2178" s="6">
        <v>43440.715416666666</v>
      </c>
      <c r="B2178" s="7" t="str">
        <f>HYPERLINK("https://twitter.com/InfoHeaders_Tes","@InfoHeaders_Tes")</f>
        <v>@InfoHeaders_Tes</v>
      </c>
      <c r="C2178" s="8" t="s">
        <v>4360</v>
      </c>
      <c r="D2178" s="9" t="s">
        <v>7316</v>
      </c>
      <c r="E2178" s="10" t="str">
        <f>HYPERLINK("https://twitter.com/InfoHeaders_Tes/status/1070712019215630337","1070712019215630337")</f>
        <v>1070712019215630337</v>
      </c>
      <c r="F2178" s="11" t="s">
        <v>7119</v>
      </c>
      <c r="G2178" s="12"/>
      <c r="H2178" s="12"/>
      <c r="I2178" s="13">
        <v>0</v>
      </c>
      <c r="J2178" s="13">
        <v>0</v>
      </c>
      <c r="K2178" s="14" t="str">
        <f>HYPERLINK("http://www.infoheaders.com","Send _Tw_INFH_Test")</f>
        <v>Send _Tw_INFH_Test</v>
      </c>
      <c r="L2178" s="13">
        <v>201</v>
      </c>
      <c r="M2178" s="13">
        <v>1</v>
      </c>
      <c r="N2178" s="13">
        <v>100</v>
      </c>
      <c r="O2178" s="15"/>
      <c r="P2178" s="6">
        <v>41315.710497685184</v>
      </c>
      <c r="Q2178" s="16" t="s">
        <v>60</v>
      </c>
      <c r="R2178" s="17" t="s">
        <v>4363</v>
      </c>
      <c r="S2178" s="11" t="s">
        <v>4364</v>
      </c>
      <c r="T2178" s="12"/>
      <c r="U2178" s="10" t="str">
        <f>HYPERLINK("https://pbs.twimg.com/profile_images/3234700567/566c3c8e394f76d77a41eafe1bfc7aa3.jpeg","View")</f>
        <v>View</v>
      </c>
    </row>
    <row r="2179" spans="1:21" ht="20.399999999999999">
      <c r="A2179" s="6">
        <v>43440.715104166666</v>
      </c>
      <c r="B2179" s="7" t="str">
        <f>HYPERLINK("https://twitter.com/Belda1954","@Belda1954")</f>
        <v>@Belda1954</v>
      </c>
      <c r="C2179" s="8" t="s">
        <v>3325</v>
      </c>
      <c r="D2179" s="9" t="s">
        <v>2259</v>
      </c>
      <c r="E2179" s="10" t="str">
        <f>HYPERLINK("https://twitter.com/Belda1954/status/1070711904144904193","1070711904144904193")</f>
        <v>1070711904144904193</v>
      </c>
      <c r="F2179" s="11" t="s">
        <v>2260</v>
      </c>
      <c r="G2179" s="12"/>
      <c r="H2179" s="12"/>
      <c r="I2179" s="13">
        <v>0</v>
      </c>
      <c r="J2179" s="13">
        <v>0</v>
      </c>
      <c r="K2179" s="14" t="str">
        <f>HYPERLINK("http://twitter.com","Twitter Web Client")</f>
        <v>Twitter Web Client</v>
      </c>
      <c r="L2179" s="13">
        <v>340</v>
      </c>
      <c r="M2179" s="13">
        <v>1035</v>
      </c>
      <c r="N2179" s="13">
        <v>7</v>
      </c>
      <c r="O2179" s="15"/>
      <c r="P2179" s="6">
        <v>40445.780740740738</v>
      </c>
      <c r="Q2179" s="16" t="s">
        <v>60</v>
      </c>
      <c r="R2179" s="17" t="s">
        <v>3326</v>
      </c>
      <c r="S2179" s="12"/>
      <c r="T2179" s="12"/>
      <c r="U2179" s="10" t="str">
        <f>HYPERLINK("https://pbs.twimg.com/profile_images/760042410126737408/0vT_CbAN.jpg","View")</f>
        <v>View</v>
      </c>
    </row>
    <row r="2180" spans="1:21" ht="20.399999999999999">
      <c r="A2180" s="6">
        <v>43440.715069444443</v>
      </c>
      <c r="B2180" s="7" t="str">
        <f>HYPERLINK("https://twitter.com/sumariumcom","@sumariumcom")</f>
        <v>@sumariumcom</v>
      </c>
      <c r="C2180" s="8" t="s">
        <v>4525</v>
      </c>
      <c r="D2180" s="9" t="s">
        <v>4680</v>
      </c>
      <c r="E2180" s="10" t="str">
        <f>HYPERLINK("https://twitter.com/sumariumcom/status/1070711892186935298","1070711892186935298")</f>
        <v>1070711892186935298</v>
      </c>
      <c r="F2180" s="11" t="s">
        <v>4527</v>
      </c>
      <c r="G2180" s="11" t="s">
        <v>5738</v>
      </c>
      <c r="H2180" s="12"/>
      <c r="I2180" s="13">
        <v>0</v>
      </c>
      <c r="J2180" s="13">
        <v>0</v>
      </c>
      <c r="K2180" s="14" t="str">
        <f>HYPERLINK("https://about.twitter.com/products/tweetdeck","TweetDeck")</f>
        <v>TweetDeck</v>
      </c>
      <c r="L2180" s="13">
        <v>164401</v>
      </c>
      <c r="M2180" s="13">
        <v>996</v>
      </c>
      <c r="N2180" s="13">
        <v>1122</v>
      </c>
      <c r="O2180" s="15"/>
      <c r="P2180" s="6">
        <v>40977.809594907405</v>
      </c>
      <c r="Q2180" s="16" t="s">
        <v>4529</v>
      </c>
      <c r="R2180" s="19"/>
      <c r="S2180" s="11" t="s">
        <v>4530</v>
      </c>
      <c r="T2180" s="12"/>
      <c r="U2180" s="10" t="str">
        <f>HYPERLINK("https://pbs.twimg.com/profile_images/1061987847874469888/mok5IDTt.jpg","View")</f>
        <v>View</v>
      </c>
    </row>
    <row r="2181" spans="1:21" ht="51">
      <c r="A2181" s="6">
        <v>43440.713206018518</v>
      </c>
      <c r="B2181" s="7" t="str">
        <f>HYPERLINK("https://twitter.com/paradigma_media","@paradigma_media")</f>
        <v>@paradigma_media</v>
      </c>
      <c r="C2181" s="8" t="s">
        <v>7317</v>
      </c>
      <c r="D2181" s="9" t="s">
        <v>7318</v>
      </c>
      <c r="E2181" s="10" t="str">
        <f>HYPERLINK("https://twitter.com/paradigma_media/status/1070711217440915457","1070711217440915457")</f>
        <v>1070711217440915457</v>
      </c>
      <c r="F2181" s="11" t="s">
        <v>7319</v>
      </c>
      <c r="G2181" s="11" t="s">
        <v>7320</v>
      </c>
      <c r="H2181" s="12"/>
      <c r="I2181" s="13">
        <v>2</v>
      </c>
      <c r="J2181" s="13">
        <v>1</v>
      </c>
      <c r="K2181" s="14" t="str">
        <f>HYPERLINK("https://buffer.com","Buffer")</f>
        <v>Buffer</v>
      </c>
      <c r="L2181" s="13">
        <v>7071</v>
      </c>
      <c r="M2181" s="13">
        <v>5017</v>
      </c>
      <c r="N2181" s="13">
        <v>77</v>
      </c>
      <c r="O2181" s="15"/>
      <c r="P2181" s="6">
        <v>42662.499386574069</v>
      </c>
      <c r="Q2181" s="16" t="s">
        <v>7321</v>
      </c>
      <c r="R2181" s="17" t="s">
        <v>7322</v>
      </c>
      <c r="S2181" s="11" t="s">
        <v>7323</v>
      </c>
      <c r="T2181" s="12"/>
      <c r="U2181" s="10" t="str">
        <f>HYPERLINK("https://pbs.twimg.com/profile_images/788683053195558913/3OlPoyIT.jpg","View")</f>
        <v>View</v>
      </c>
    </row>
    <row r="2182" spans="1:21" ht="30.6">
      <c r="A2182" s="6">
        <v>43440.71266203704</v>
      </c>
      <c r="B2182" s="7" t="str">
        <f>HYPERLINK("https://twitter.com/aquilavida","@aquilavida")</f>
        <v>@aquilavida</v>
      </c>
      <c r="C2182" s="8" t="s">
        <v>428</v>
      </c>
      <c r="D2182" s="9" t="s">
        <v>7324</v>
      </c>
      <c r="E2182" s="10" t="str">
        <f>HYPERLINK("https://twitter.com/aquilavida/status/1070711020325355520","1070711020325355520")</f>
        <v>1070711020325355520</v>
      </c>
      <c r="F2182" s="11" t="s">
        <v>7325</v>
      </c>
      <c r="G2182" s="12"/>
      <c r="H2182" s="12"/>
      <c r="I2182" s="13">
        <v>0</v>
      </c>
      <c r="J2182" s="13">
        <v>0</v>
      </c>
      <c r="K2182" s="14" t="str">
        <f>HYPERLINK("https://ifttt.com","IFTTT")</f>
        <v>IFTTT</v>
      </c>
      <c r="L2182" s="13">
        <v>235</v>
      </c>
      <c r="M2182" s="13">
        <v>233</v>
      </c>
      <c r="N2182" s="13">
        <v>55</v>
      </c>
      <c r="O2182" s="15"/>
      <c r="P2182" s="6">
        <v>40665.698576388888</v>
      </c>
      <c r="Q2182" s="16" t="s">
        <v>200</v>
      </c>
      <c r="R2182" s="17" t="s">
        <v>433</v>
      </c>
      <c r="S2182" s="12"/>
      <c r="T2182" s="12"/>
      <c r="U2182" s="10" t="str">
        <f>HYPERLINK("https://pbs.twimg.com/profile_images/1658515048/image.jpg","View")</f>
        <v>View</v>
      </c>
    </row>
    <row r="2183" spans="1:21" ht="40.799999999999997">
      <c r="A2183" s="6">
        <v>43440.712337962963</v>
      </c>
      <c r="B2183" s="7" t="str">
        <f>HYPERLINK("https://twitter.com/marsicilia","@marsicilia")</f>
        <v>@marsicilia</v>
      </c>
      <c r="C2183" s="8" t="s">
        <v>6587</v>
      </c>
      <c r="D2183" s="9" t="s">
        <v>5252</v>
      </c>
      <c r="E2183" s="10" t="str">
        <f>HYPERLINK("https://twitter.com/marsicilia/status/1070710902339579904","1070710902339579904")</f>
        <v>1070710902339579904</v>
      </c>
      <c r="F2183" s="11" t="s">
        <v>5253</v>
      </c>
      <c r="G2183" s="12"/>
      <c r="H2183" s="12"/>
      <c r="I2183" s="13">
        <v>0</v>
      </c>
      <c r="J2183" s="13">
        <v>0</v>
      </c>
      <c r="K2183" s="14" t="str">
        <f>HYPERLINK("http://twitter.com/download/android","Twitter for Android")</f>
        <v>Twitter for Android</v>
      </c>
      <c r="L2183" s="13">
        <v>2161</v>
      </c>
      <c r="M2183" s="13">
        <v>2015</v>
      </c>
      <c r="N2183" s="13">
        <v>41</v>
      </c>
      <c r="O2183" s="15"/>
      <c r="P2183" s="6">
        <v>40303.644687499997</v>
      </c>
      <c r="Q2183" s="16" t="s">
        <v>6588</v>
      </c>
      <c r="R2183" s="17" t="s">
        <v>6589</v>
      </c>
      <c r="S2183" s="12"/>
      <c r="T2183" s="12"/>
      <c r="U2183" s="10" t="str">
        <f>HYPERLINK("https://pbs.twimg.com/profile_images/497473662476627969/3L8sV64o.jpeg","View")</f>
        <v>View</v>
      </c>
    </row>
    <row r="2184" spans="1:21" ht="30.6">
      <c r="A2184" s="6">
        <v>43440.710231481484</v>
      </c>
      <c r="B2184" s="7" t="str">
        <f>HYPERLINK("https://twitter.com/diariodeavisos","@diariodeavisos")</f>
        <v>@diariodeavisos</v>
      </c>
      <c r="C2184" s="8" t="s">
        <v>7326</v>
      </c>
      <c r="D2184" s="9" t="s">
        <v>7327</v>
      </c>
      <c r="E2184" s="10" t="str">
        <f>HYPERLINK("https://twitter.com/diariodeavisos/status/1070710139685089282","1070710139685089282")</f>
        <v>1070710139685089282</v>
      </c>
      <c r="F2184" s="11" t="s">
        <v>7328</v>
      </c>
      <c r="G2184" s="11" t="s">
        <v>7329</v>
      </c>
      <c r="H2184" s="12"/>
      <c r="I2184" s="13">
        <v>0</v>
      </c>
      <c r="J2184" s="13">
        <v>1</v>
      </c>
      <c r="K2184" s="14" t="str">
        <f>HYPERLINK("https://about.twitter.com/products/tweetdeck","TweetDeck")</f>
        <v>TweetDeck</v>
      </c>
      <c r="L2184" s="13">
        <v>88452</v>
      </c>
      <c r="M2184" s="13">
        <v>60</v>
      </c>
      <c r="N2184" s="13">
        <v>899</v>
      </c>
      <c r="O2184" s="15"/>
      <c r="P2184" s="6">
        <v>39952.561157407406</v>
      </c>
      <c r="Q2184" s="16" t="s">
        <v>4410</v>
      </c>
      <c r="R2184" s="17" t="s">
        <v>7330</v>
      </c>
      <c r="S2184" s="11" t="s">
        <v>7331</v>
      </c>
      <c r="T2184" s="12"/>
      <c r="U2184" s="10" t="str">
        <f>HYPERLINK("https://pbs.twimg.com/profile_images/1069249399488999432/1QZd0TkF.jpg","View")</f>
        <v>View</v>
      </c>
    </row>
    <row r="2185" spans="1:21" ht="20.399999999999999">
      <c r="A2185" s="6">
        <v>43440.709733796291</v>
      </c>
      <c r="B2185" s="7" t="str">
        <f>HYPERLINK("https://twitter.com/EP_Mundo","@EP_Mundo")</f>
        <v>@EP_Mundo</v>
      </c>
      <c r="C2185" s="8" t="s">
        <v>735</v>
      </c>
      <c r="D2185" s="9" t="s">
        <v>2756</v>
      </c>
      <c r="E2185" s="10" t="str">
        <f>HYPERLINK("https://twitter.com/EP_Mundo/status/1070709958533136384","1070709958533136384")</f>
        <v>1070709958533136384</v>
      </c>
      <c r="F2185" s="11" t="s">
        <v>2757</v>
      </c>
      <c r="G2185" s="11" t="s">
        <v>7332</v>
      </c>
      <c r="H2185" s="12"/>
      <c r="I2185" s="13">
        <v>1</v>
      </c>
      <c r="J2185" s="13">
        <v>1</v>
      </c>
      <c r="K2185" s="14" t="str">
        <f>HYPERLINK("http://epmundo.com","Tuiteo TOP EP (2)")</f>
        <v>Tuiteo TOP EP (2)</v>
      </c>
      <c r="L2185" s="13">
        <v>510220</v>
      </c>
      <c r="M2185" s="13">
        <v>301867</v>
      </c>
      <c r="N2185" s="13">
        <v>1363</v>
      </c>
      <c r="O2185" s="15"/>
      <c r="P2185" s="6">
        <v>40203.223078703704</v>
      </c>
      <c r="Q2185" s="12"/>
      <c r="R2185" s="17" t="s">
        <v>739</v>
      </c>
      <c r="S2185" s="11" t="s">
        <v>740</v>
      </c>
      <c r="T2185" s="12"/>
      <c r="U2185" s="10" t="str">
        <f>HYPERLINK("https://pbs.twimg.com/profile_images/958329583778099200/87-xiuzB.jpg","View")</f>
        <v>View</v>
      </c>
    </row>
    <row r="2186" spans="1:21" ht="40.799999999999997">
      <c r="A2186" s="6">
        <v>43440.70958333333</v>
      </c>
      <c r="B2186" s="7" t="str">
        <f>HYPERLINK("https://twitter.com/Concepc98510820","@Concepc98510820")</f>
        <v>@Concepc98510820</v>
      </c>
      <c r="C2186" s="8" t="s">
        <v>3486</v>
      </c>
      <c r="D2186" s="9" t="s">
        <v>7333</v>
      </c>
      <c r="E2186" s="10" t="str">
        <f>HYPERLINK("https://twitter.com/Concepc98510820/status/1070709904804077568","1070709904804077568")</f>
        <v>1070709904804077568</v>
      </c>
      <c r="F2186" s="11" t="s">
        <v>432</v>
      </c>
      <c r="G2186" s="12"/>
      <c r="H2186" s="12"/>
      <c r="I2186" s="13">
        <v>1</v>
      </c>
      <c r="J2186" s="13">
        <v>1</v>
      </c>
      <c r="K2186" s="14" t="str">
        <f t="shared" ref="K2186:K2187" si="380">HYPERLINK("http://twitter.com","Twitter Web Client")</f>
        <v>Twitter Web Client</v>
      </c>
      <c r="L2186" s="13">
        <v>739</v>
      </c>
      <c r="M2186" s="13">
        <v>339</v>
      </c>
      <c r="N2186" s="13">
        <v>3</v>
      </c>
      <c r="O2186" s="15"/>
      <c r="P2186" s="6">
        <v>43000.366782407407</v>
      </c>
      <c r="Q2186" s="12"/>
      <c r="R2186" s="17" t="s">
        <v>3489</v>
      </c>
      <c r="S2186" s="12"/>
      <c r="T2186" s="12"/>
      <c r="U2186" s="10" t="str">
        <f>HYPERLINK("https://pbs.twimg.com/profile_images/1012999387205832704/BtuOFMFu.jpg","View")</f>
        <v>View</v>
      </c>
    </row>
    <row r="2187" spans="1:21" ht="40.799999999999997">
      <c r="A2187" s="6">
        <v>43440.709178240737</v>
      </c>
      <c r="B2187" s="7" t="str">
        <f>HYPERLINK("https://twitter.com/IndeGranada","@IndeGranada")</f>
        <v>@IndeGranada</v>
      </c>
      <c r="C2187" s="8" t="s">
        <v>7334</v>
      </c>
      <c r="D2187" s="9" t="s">
        <v>7335</v>
      </c>
      <c r="E2187" s="10" t="str">
        <f>HYPERLINK("https://twitter.com/IndeGranada/status/1070709757059784705","1070709757059784705")</f>
        <v>1070709757059784705</v>
      </c>
      <c r="F2187" s="11" t="s">
        <v>7336</v>
      </c>
      <c r="G2187" s="11" t="s">
        <v>7337</v>
      </c>
      <c r="H2187" s="12"/>
      <c r="I2187" s="13">
        <v>0</v>
      </c>
      <c r="J2187" s="13">
        <v>1</v>
      </c>
      <c r="K2187" s="14" t="str">
        <f t="shared" si="380"/>
        <v>Twitter Web Client</v>
      </c>
      <c r="L2187" s="13">
        <v>7070</v>
      </c>
      <c r="M2187" s="13">
        <v>594</v>
      </c>
      <c r="N2187" s="13">
        <v>184</v>
      </c>
      <c r="O2187" s="15"/>
      <c r="P2187" s="6">
        <v>42020.60491898148</v>
      </c>
      <c r="Q2187" s="16" t="s">
        <v>7338</v>
      </c>
      <c r="R2187" s="17" t="s">
        <v>7339</v>
      </c>
      <c r="S2187" s="12"/>
      <c r="T2187" s="12"/>
      <c r="U2187" s="10" t="str">
        <f>HYPERLINK("https://pbs.twimg.com/profile_images/577561039371304960/0kPjKda0.jpeg","View")</f>
        <v>View</v>
      </c>
    </row>
    <row r="2188" spans="1:21" ht="13.2">
      <c r="A2188" s="6">
        <v>43440.708587962959</v>
      </c>
      <c r="B2188" s="7" t="str">
        <f>HYPERLINK("https://twitter.com/AntonioLola4","@AntonioLola4")</f>
        <v>@AntonioLola4</v>
      </c>
      <c r="C2188" s="8" t="s">
        <v>1679</v>
      </c>
      <c r="D2188" s="9" t="s">
        <v>7340</v>
      </c>
      <c r="E2188" s="10" t="str">
        <f>HYPERLINK("https://twitter.com/AntonioLola4/status/1070709541258579968","1070709541258579968")</f>
        <v>1070709541258579968</v>
      </c>
      <c r="F2188" s="12"/>
      <c r="G2188" s="11" t="s">
        <v>7341</v>
      </c>
      <c r="H2188" s="12"/>
      <c r="I2188" s="13">
        <v>0</v>
      </c>
      <c r="J2188" s="13">
        <v>0</v>
      </c>
      <c r="K2188" s="14" t="str">
        <f>HYPERLINK("http://twitter.com/download/android","Twitter for Android")</f>
        <v>Twitter for Android</v>
      </c>
      <c r="L2188" s="13">
        <v>147</v>
      </c>
      <c r="M2188" s="13">
        <v>340</v>
      </c>
      <c r="N2188" s="13">
        <v>1</v>
      </c>
      <c r="O2188" s="15"/>
      <c r="P2188" s="6">
        <v>43322.567500000005</v>
      </c>
      <c r="Q2188" s="12"/>
      <c r="R2188" s="19"/>
      <c r="S2188" s="12"/>
      <c r="T2188" s="12"/>
      <c r="U2188" s="10" t="str">
        <f>HYPERLINK("https://pbs.twimg.com/profile_images/1033050274888331264/7Km_PoOW.jpg","View")</f>
        <v>View</v>
      </c>
    </row>
    <row r="2189" spans="1:21" ht="40.799999999999997">
      <c r="A2189" s="6">
        <v>43440.708564814813</v>
      </c>
      <c r="B2189" s="7" t="str">
        <f>HYPERLINK("https://twitter.com/lextresabogados","@lextresabogados")</f>
        <v>@lextresabogados</v>
      </c>
      <c r="C2189" s="8" t="s">
        <v>226</v>
      </c>
      <c r="D2189" s="9" t="s">
        <v>7342</v>
      </c>
      <c r="E2189" s="10" t="str">
        <f>HYPERLINK("https://twitter.com/lextresabogados/status/1070709532584787968","1070709532584787968")</f>
        <v>1070709532584787968</v>
      </c>
      <c r="F2189" s="11" t="s">
        <v>7343</v>
      </c>
      <c r="G2189" s="12"/>
      <c r="H2189" s="12"/>
      <c r="I2189" s="13">
        <v>0</v>
      </c>
      <c r="J2189" s="13">
        <v>1</v>
      </c>
      <c r="K2189" s="14" t="str">
        <f>HYPERLINK("http://35.180.36.179","botize nueva")</f>
        <v>botize nueva</v>
      </c>
      <c r="L2189" s="13">
        <v>2912</v>
      </c>
      <c r="M2189" s="13">
        <v>3525</v>
      </c>
      <c r="N2189" s="13">
        <v>26</v>
      </c>
      <c r="O2189" s="15"/>
      <c r="P2189" s="6">
        <v>42880.770949074074</v>
      </c>
      <c r="Q2189" s="16" t="s">
        <v>230</v>
      </c>
      <c r="R2189" s="17" t="s">
        <v>231</v>
      </c>
      <c r="S2189" s="11" t="s">
        <v>232</v>
      </c>
      <c r="T2189" s="12"/>
      <c r="U2189" s="10" t="str">
        <f>HYPERLINK("https://pbs.twimg.com/profile_images/1068056978679898113/YnjKwiVy.jpg","View")</f>
        <v>View</v>
      </c>
    </row>
    <row r="2190" spans="1:21" ht="30.6">
      <c r="A2190" s="6">
        <v>43440.706550925926</v>
      </c>
      <c r="B2190" s="7" t="str">
        <f>HYPERLINK("https://twitter.com/frcub","@frcub")</f>
        <v>@frcub</v>
      </c>
      <c r="C2190" s="8" t="s">
        <v>3932</v>
      </c>
      <c r="D2190" s="9" t="s">
        <v>6772</v>
      </c>
      <c r="E2190" s="10" t="str">
        <f>HYPERLINK("https://twitter.com/frcub/status/1070708804839444481","1070708804839444481")</f>
        <v>1070708804839444481</v>
      </c>
      <c r="F2190" s="11" t="s">
        <v>432</v>
      </c>
      <c r="G2190" s="12"/>
      <c r="H2190" s="12"/>
      <c r="I2190" s="13">
        <v>0</v>
      </c>
      <c r="J2190" s="13">
        <v>0</v>
      </c>
      <c r="K2190" s="14" t="str">
        <f t="shared" ref="K2190:K2191" si="381">HYPERLINK("http://twitter.com","Twitter Web Client")</f>
        <v>Twitter Web Client</v>
      </c>
      <c r="L2190" s="13">
        <v>5016</v>
      </c>
      <c r="M2190" s="13">
        <v>3887</v>
      </c>
      <c r="N2190" s="13">
        <v>58</v>
      </c>
      <c r="O2190" s="15"/>
      <c r="P2190" s="6">
        <v>40664.317858796298</v>
      </c>
      <c r="Q2190" s="16" t="s">
        <v>60</v>
      </c>
      <c r="R2190" s="17" t="s">
        <v>3933</v>
      </c>
      <c r="S2190" s="12"/>
      <c r="T2190" s="12"/>
      <c r="U2190" s="10" t="str">
        <f>HYPERLINK("https://pbs.twimg.com/profile_images/1041719046293647360/7xigqmIy.jpg","View")</f>
        <v>View</v>
      </c>
    </row>
    <row r="2191" spans="1:21" ht="40.799999999999997">
      <c r="A2191" s="6">
        <v>43440.706041666665</v>
      </c>
      <c r="B2191" s="7" t="str">
        <f>HYPERLINK("https://twitter.com/RMadridistaReal","@RMadridistaReal")</f>
        <v>@RMadridistaReal</v>
      </c>
      <c r="C2191" s="8" t="s">
        <v>7344</v>
      </c>
      <c r="D2191" s="9" t="s">
        <v>7345</v>
      </c>
      <c r="E2191" s="10" t="str">
        <f>HYPERLINK("https://twitter.com/RMadridistaReal/status/1070708620164284422","1070708620164284422")</f>
        <v>1070708620164284422</v>
      </c>
      <c r="F2191" s="12"/>
      <c r="G2191" s="12"/>
      <c r="H2191" s="12"/>
      <c r="I2191" s="13">
        <v>0</v>
      </c>
      <c r="J2191" s="13">
        <v>0</v>
      </c>
      <c r="K2191" s="14" t="str">
        <f t="shared" si="381"/>
        <v>Twitter Web Client</v>
      </c>
      <c r="L2191" s="13">
        <v>9956</v>
      </c>
      <c r="M2191" s="13">
        <v>424</v>
      </c>
      <c r="N2191" s="13">
        <v>98</v>
      </c>
      <c r="O2191" s="15"/>
      <c r="P2191" s="6">
        <v>42713.672129629631</v>
      </c>
      <c r="Q2191" s="16" t="s">
        <v>1116</v>
      </c>
      <c r="R2191" s="17" t="s">
        <v>7346</v>
      </c>
      <c r="S2191" s="11" t="s">
        <v>7347</v>
      </c>
      <c r="T2191" s="12"/>
      <c r="U2191" s="10" t="str">
        <f>HYPERLINK("https://pbs.twimg.com/profile_images/1032192323659157504/v0cEs6aa.jpg","View")</f>
        <v>View</v>
      </c>
    </row>
    <row r="2192" spans="1:21" ht="40.799999999999997">
      <c r="A2192" s="6">
        <v>43440.704652777778</v>
      </c>
      <c r="B2192" s="7" t="str">
        <f>HYPERLINK("https://twitter.com/LaSer_Melilla","@LaSer_Melilla")</f>
        <v>@LaSer_Melilla</v>
      </c>
      <c r="C2192" s="8" t="s">
        <v>7348</v>
      </c>
      <c r="D2192" s="9" t="s">
        <v>7349</v>
      </c>
      <c r="E2192" s="10" t="str">
        <f>HYPERLINK("https://twitter.com/LaSer_Melilla/status/1070708116080205825","1070708116080205825")</f>
        <v>1070708116080205825</v>
      </c>
      <c r="F2192" s="12"/>
      <c r="G2192" s="12"/>
      <c r="H2192" s="12"/>
      <c r="I2192" s="13">
        <v>0</v>
      </c>
      <c r="J2192" s="13">
        <v>0</v>
      </c>
      <c r="K2192" s="14" t="str">
        <f t="shared" ref="K2192:K2196" si="382">HYPERLINK("http://twitter.com/download/android","Twitter for Android")</f>
        <v>Twitter for Android</v>
      </c>
      <c r="L2192" s="13">
        <v>2643</v>
      </c>
      <c r="M2192" s="13">
        <v>643</v>
      </c>
      <c r="N2192" s="13">
        <v>43</v>
      </c>
      <c r="O2192" s="15"/>
      <c r="P2192" s="6">
        <v>42265.161168981482</v>
      </c>
      <c r="Q2192" s="16" t="s">
        <v>7042</v>
      </c>
      <c r="R2192" s="17" t="s">
        <v>7350</v>
      </c>
      <c r="S2192" s="11" t="s">
        <v>7351</v>
      </c>
      <c r="T2192" s="12"/>
      <c r="U2192" s="10" t="str">
        <f>HYPERLINK("https://pbs.twimg.com/profile_images/900313109843333120/u6oehlnd.jpg","View")</f>
        <v>View</v>
      </c>
    </row>
    <row r="2193" spans="1:21" ht="20.399999999999999">
      <c r="A2193" s="6">
        <v>43440.70449074074</v>
      </c>
      <c r="B2193" s="7" t="str">
        <f>HYPERLINK("https://twitter.com/caencomonueces","@caencomonueces")</f>
        <v>@caencomonueces</v>
      </c>
      <c r="C2193" s="8" t="s">
        <v>1513</v>
      </c>
      <c r="D2193" s="9" t="s">
        <v>4459</v>
      </c>
      <c r="E2193" s="10" t="str">
        <f>HYPERLINK("https://twitter.com/caencomonueces/status/1070708058970578944","1070708058970578944")</f>
        <v>1070708058970578944</v>
      </c>
      <c r="F2193" s="11" t="s">
        <v>2089</v>
      </c>
      <c r="G2193" s="12"/>
      <c r="H2193" s="12"/>
      <c r="I2193" s="13">
        <v>0</v>
      </c>
      <c r="J2193" s="13">
        <v>0</v>
      </c>
      <c r="K2193" s="14" t="str">
        <f t="shared" si="382"/>
        <v>Twitter for Android</v>
      </c>
      <c r="L2193" s="13">
        <v>646</v>
      </c>
      <c r="M2193" s="13">
        <v>1185</v>
      </c>
      <c r="N2193" s="13">
        <v>3</v>
      </c>
      <c r="O2193" s="15"/>
      <c r="P2193" s="6">
        <v>41242.801539351851</v>
      </c>
      <c r="Q2193" s="16" t="s">
        <v>119</v>
      </c>
      <c r="R2193" s="17" t="s">
        <v>1516</v>
      </c>
      <c r="S2193" s="12"/>
      <c r="T2193" s="12"/>
      <c r="U2193" s="10" t="str">
        <f>HYPERLINK("https://pbs.twimg.com/profile_images/802542076420378628/S_52YFJA.jpg","View")</f>
        <v>View</v>
      </c>
    </row>
    <row r="2194" spans="1:21" ht="51">
      <c r="A2194" s="6">
        <v>43440.704363425924</v>
      </c>
      <c r="B2194" s="7" t="str">
        <f>HYPERLINK("https://twitter.com/pnubiola","@pnubiola")</f>
        <v>@pnubiola</v>
      </c>
      <c r="C2194" s="8" t="s">
        <v>6781</v>
      </c>
      <c r="D2194" s="9" t="s">
        <v>6782</v>
      </c>
      <c r="E2194" s="10" t="str">
        <f>HYPERLINK("https://twitter.com/pnubiola/status/1070708011876921345","1070708011876921345")</f>
        <v>1070708011876921345</v>
      </c>
      <c r="F2194" s="11" t="s">
        <v>6784</v>
      </c>
      <c r="G2194" s="12"/>
      <c r="H2194" s="12"/>
      <c r="I2194" s="13">
        <v>0</v>
      </c>
      <c r="J2194" s="13">
        <v>0</v>
      </c>
      <c r="K2194" s="14" t="str">
        <f t="shared" si="382"/>
        <v>Twitter for Android</v>
      </c>
      <c r="L2194" s="13">
        <v>148</v>
      </c>
      <c r="M2194" s="13">
        <v>30</v>
      </c>
      <c r="N2194" s="13">
        <v>3</v>
      </c>
      <c r="O2194" s="15"/>
      <c r="P2194" s="6">
        <v>41888.522662037038</v>
      </c>
      <c r="Q2194" s="12"/>
      <c r="R2194" s="19"/>
      <c r="S2194" s="12"/>
      <c r="T2194" s="12"/>
      <c r="U2194" s="10" t="str">
        <f>HYPERLINK("https://pbs.twimg.com/profile_images/1043786207220699136/CBJltGwD.jpg","View")</f>
        <v>View</v>
      </c>
    </row>
    <row r="2195" spans="1:21" ht="20.399999999999999">
      <c r="A2195" s="6">
        <v>43440.702777777777</v>
      </c>
      <c r="B2195" s="7" t="str">
        <f>HYPERLINK("https://twitter.com/Pamega4","@Pamega4")</f>
        <v>@Pamega4</v>
      </c>
      <c r="C2195" s="8" t="s">
        <v>7352</v>
      </c>
      <c r="D2195" s="9" t="s">
        <v>5252</v>
      </c>
      <c r="E2195" s="10" t="str">
        <f>HYPERLINK("https://twitter.com/Pamega4/status/1070707436980441088","1070707436980441088")</f>
        <v>1070707436980441088</v>
      </c>
      <c r="F2195" s="11" t="s">
        <v>5682</v>
      </c>
      <c r="G2195" s="12"/>
      <c r="H2195" s="12"/>
      <c r="I2195" s="13">
        <v>0</v>
      </c>
      <c r="J2195" s="13">
        <v>0</v>
      </c>
      <c r="K2195" s="14" t="str">
        <f t="shared" si="382"/>
        <v>Twitter for Android</v>
      </c>
      <c r="L2195" s="13">
        <v>0</v>
      </c>
      <c r="M2195" s="13">
        <v>1</v>
      </c>
      <c r="N2195" s="13">
        <v>0</v>
      </c>
      <c r="O2195" s="15"/>
      <c r="P2195" s="6">
        <v>42759.618009259255</v>
      </c>
      <c r="Q2195" s="12"/>
      <c r="R2195" s="19"/>
      <c r="S2195" s="12"/>
      <c r="T2195" s="12"/>
      <c r="U2195" s="18" t="s">
        <v>67</v>
      </c>
    </row>
    <row r="2196" spans="1:21" ht="20.399999999999999">
      <c r="A2196" s="6">
        <v>43440.702025462961</v>
      </c>
      <c r="B2196" s="7" t="str">
        <f>HYPERLINK("https://twitter.com/atorrem","@atorrem")</f>
        <v>@atorrem</v>
      </c>
      <c r="C2196" s="8" t="s">
        <v>7353</v>
      </c>
      <c r="D2196" s="9" t="s">
        <v>7354</v>
      </c>
      <c r="E2196" s="10" t="str">
        <f>HYPERLINK("https://twitter.com/atorrem/status/1070707165311188992","1070707165311188992")</f>
        <v>1070707165311188992</v>
      </c>
      <c r="F2196" s="16" t="s">
        <v>5021</v>
      </c>
      <c r="G2196" s="12"/>
      <c r="H2196" s="12"/>
      <c r="I2196" s="13">
        <v>0</v>
      </c>
      <c r="J2196" s="13">
        <v>1</v>
      </c>
      <c r="K2196" s="14" t="str">
        <f t="shared" si="382"/>
        <v>Twitter for Android</v>
      </c>
      <c r="L2196" s="13">
        <v>117416</v>
      </c>
      <c r="M2196" s="13">
        <v>17</v>
      </c>
      <c r="N2196" s="13">
        <v>980</v>
      </c>
      <c r="O2196" s="18" t="s">
        <v>41</v>
      </c>
      <c r="P2196" s="6">
        <v>40364.98300925926</v>
      </c>
      <c r="Q2196" s="12"/>
      <c r="R2196" s="23" t="s">
        <v>7355</v>
      </c>
      <c r="S2196" s="11" t="s">
        <v>7356</v>
      </c>
      <c r="T2196" s="12"/>
      <c r="U2196" s="10" t="str">
        <f>HYPERLINK("https://pbs.twimg.com/profile_images/1068095520667811842/LKI9y4Au.jpg","View")</f>
        <v>View</v>
      </c>
    </row>
    <row r="2197" spans="1:21" ht="20.399999999999999">
      <c r="A2197" s="6">
        <v>43440.700601851851</v>
      </c>
      <c r="B2197" s="7" t="str">
        <f>HYPERLINK("https://twitter.com/GaliciaeXornal","@GaliciaeXornal")</f>
        <v>@GaliciaeXornal</v>
      </c>
      <c r="C2197" s="8" t="s">
        <v>298</v>
      </c>
      <c r="D2197" s="9" t="s">
        <v>299</v>
      </c>
      <c r="E2197" s="10" t="str">
        <f>HYPERLINK("https://twitter.com/GaliciaeXornal/status/1070706648895946752","1070706648895946752")</f>
        <v>1070706648895946752</v>
      </c>
      <c r="F2197" s="11" t="s">
        <v>300</v>
      </c>
      <c r="G2197" s="12"/>
      <c r="H2197" s="12"/>
      <c r="I2197" s="13">
        <v>0</v>
      </c>
      <c r="J2197" s="13">
        <v>0</v>
      </c>
      <c r="K2197" s="14" t="str">
        <f>HYPERLINK("https://about.twitter.com/products/tweetdeck","TweetDeck")</f>
        <v>TweetDeck</v>
      </c>
      <c r="L2197" s="13">
        <v>10316</v>
      </c>
      <c r="M2197" s="13">
        <v>934</v>
      </c>
      <c r="N2197" s="13">
        <v>294</v>
      </c>
      <c r="O2197" s="15"/>
      <c r="P2197" s="6">
        <v>40599.461712962962</v>
      </c>
      <c r="Q2197" s="16" t="s">
        <v>302</v>
      </c>
      <c r="R2197" s="17" t="s">
        <v>303</v>
      </c>
      <c r="S2197" s="11" t="s">
        <v>305</v>
      </c>
      <c r="T2197" s="12"/>
      <c r="U2197" s="10" t="str">
        <f>HYPERLINK("https://pbs.twimg.com/profile_images/573116115498319872/qGQzYHe8.jpeg","View")</f>
        <v>View</v>
      </c>
    </row>
    <row r="2198" spans="1:21" ht="40.799999999999997">
      <c r="A2198" s="6">
        <v>43440.700567129628</v>
      </c>
      <c r="B2198" s="7" t="str">
        <f>HYPERLINK("https://twitter.com/FERNANDOMEXIC0","@FERNANDOMEXIC0")</f>
        <v>@FERNANDOMEXIC0</v>
      </c>
      <c r="C2198" s="8" t="s">
        <v>7357</v>
      </c>
      <c r="D2198" s="9" t="s">
        <v>5252</v>
      </c>
      <c r="E2198" s="10" t="str">
        <f>HYPERLINK("https://twitter.com/FERNANDOMEXIC0/status/1070706636593889280","1070706636593889280")</f>
        <v>1070706636593889280</v>
      </c>
      <c r="F2198" s="11" t="s">
        <v>5253</v>
      </c>
      <c r="G2198" s="12"/>
      <c r="H2198" s="12"/>
      <c r="I2198" s="13">
        <v>0</v>
      </c>
      <c r="J2198" s="13">
        <v>0</v>
      </c>
      <c r="K2198" s="14" t="str">
        <f t="shared" ref="K2198:K2199" si="383">HYPERLINK("http://twitter.com","Twitter Web Client")</f>
        <v>Twitter Web Client</v>
      </c>
      <c r="L2198" s="13">
        <v>3132</v>
      </c>
      <c r="M2198" s="13">
        <v>2998</v>
      </c>
      <c r="N2198" s="13">
        <v>104</v>
      </c>
      <c r="O2198" s="15"/>
      <c r="P2198" s="6">
        <v>41722.993796296294</v>
      </c>
      <c r="Q2198" s="16" t="s">
        <v>7358</v>
      </c>
      <c r="R2198" s="17" t="s">
        <v>7359</v>
      </c>
      <c r="S2198" s="12"/>
      <c r="T2198" s="12"/>
      <c r="U2198" s="10" t="str">
        <f>HYPERLINK("https://pbs.twimg.com/profile_images/522877742132367360/J09wIl8e.jpeg","View")</f>
        <v>View</v>
      </c>
    </row>
    <row r="2199" spans="1:21" ht="40.799999999999997">
      <c r="A2199" s="6">
        <v>43440.700104166666</v>
      </c>
      <c r="B2199" s="7" t="str">
        <f>HYPERLINK("https://twitter.com/TORMENTA45ISR","@TORMENTA45ISR")</f>
        <v>@TORMENTA45ISR</v>
      </c>
      <c r="C2199" s="8" t="s">
        <v>7360</v>
      </c>
      <c r="D2199" s="9" t="s">
        <v>4627</v>
      </c>
      <c r="E2199" s="10" t="str">
        <f>HYPERLINK("https://twitter.com/TORMENTA45ISR/status/1070706469757181952","1070706469757181952")</f>
        <v>1070706469757181952</v>
      </c>
      <c r="F2199" s="11" t="s">
        <v>4628</v>
      </c>
      <c r="G2199" s="12"/>
      <c r="H2199" s="12"/>
      <c r="I2199" s="13">
        <v>0</v>
      </c>
      <c r="J2199" s="13">
        <v>0</v>
      </c>
      <c r="K2199" s="14" t="str">
        <f t="shared" si="383"/>
        <v>Twitter Web Client</v>
      </c>
      <c r="L2199" s="13">
        <v>1093</v>
      </c>
      <c r="M2199" s="13">
        <v>1639</v>
      </c>
      <c r="N2199" s="13">
        <v>8</v>
      </c>
      <c r="O2199" s="15"/>
      <c r="P2199" s="6">
        <v>42066.81050925926</v>
      </c>
      <c r="Q2199" s="16" t="s">
        <v>7361</v>
      </c>
      <c r="R2199" s="17" t="s">
        <v>7362</v>
      </c>
      <c r="S2199" s="12"/>
      <c r="T2199" s="12"/>
      <c r="U2199" s="10" t="str">
        <f>HYPERLINK("https://pbs.twimg.com/profile_images/983065573746765824/D4tEux8g.jpg","View")</f>
        <v>View</v>
      </c>
    </row>
    <row r="2200" spans="1:21" ht="40.799999999999997">
      <c r="A2200" s="6">
        <v>43440.699803240743</v>
      </c>
      <c r="B2200" s="7" t="str">
        <f>HYPERLINK("https://twitter.com/diariovasco","@diariovasco")</f>
        <v>@diariovasco</v>
      </c>
      <c r="C2200" s="8" t="s">
        <v>7363</v>
      </c>
      <c r="D2200" s="9" t="s">
        <v>7342</v>
      </c>
      <c r="E2200" s="10" t="str">
        <f>HYPERLINK("https://twitter.com/diariovasco/status/1070706359572856833","1070706359572856833")</f>
        <v>1070706359572856833</v>
      </c>
      <c r="F2200" s="11" t="s">
        <v>7364</v>
      </c>
      <c r="G2200" s="12"/>
      <c r="H2200" s="12"/>
      <c r="I2200" s="13">
        <v>1</v>
      </c>
      <c r="J2200" s="13">
        <v>4</v>
      </c>
      <c r="K2200" s="14" t="str">
        <f>HYPERLINK("http://dogtrack.es","DogTrack_Oficial")</f>
        <v>DogTrack_Oficial</v>
      </c>
      <c r="L2200" s="13">
        <v>76565</v>
      </c>
      <c r="M2200" s="13">
        <v>882</v>
      </c>
      <c r="N2200" s="13">
        <v>1316</v>
      </c>
      <c r="O2200" s="18" t="s">
        <v>41</v>
      </c>
      <c r="P2200" s="6">
        <v>39542.815335648149</v>
      </c>
      <c r="Q2200" s="16" t="s">
        <v>7365</v>
      </c>
      <c r="R2200" s="17" t="s">
        <v>7366</v>
      </c>
      <c r="S2200" s="11" t="s">
        <v>7367</v>
      </c>
      <c r="T2200" s="12"/>
      <c r="U2200" s="10" t="str">
        <f>HYPERLINK("https://pbs.twimg.com/profile_images/972010219600359425/oUPn-qlC.jpg","View")</f>
        <v>View</v>
      </c>
    </row>
    <row r="2201" spans="1:21" ht="40.799999999999997">
      <c r="A2201" s="6">
        <v>43440.699479166666</v>
      </c>
      <c r="B2201" s="7" t="str">
        <f>HYPERLINK("https://twitter.com/elprogreso_Lugo","@elprogreso_Lugo")</f>
        <v>@elprogreso_Lugo</v>
      </c>
      <c r="C2201" s="8" t="s">
        <v>309</v>
      </c>
      <c r="D2201" s="9" t="s">
        <v>311</v>
      </c>
      <c r="E2201" s="10" t="str">
        <f>HYPERLINK("https://twitter.com/elprogreso_Lugo/status/1070706240131608576","1070706240131608576")</f>
        <v>1070706240131608576</v>
      </c>
      <c r="F2201" s="11" t="s">
        <v>312</v>
      </c>
      <c r="G2201" s="12"/>
      <c r="H2201" s="12"/>
      <c r="I2201" s="13">
        <v>1</v>
      </c>
      <c r="J2201" s="13">
        <v>0</v>
      </c>
      <c r="K2201" s="14" t="str">
        <f t="shared" ref="K2201:K2202" si="384">HYPERLINK("https://about.twitter.com/products/tweetdeck","TweetDeck")</f>
        <v>TweetDeck</v>
      </c>
      <c r="L2201" s="13">
        <v>22448</v>
      </c>
      <c r="M2201" s="13">
        <v>224</v>
      </c>
      <c r="N2201" s="13">
        <v>445</v>
      </c>
      <c r="O2201" s="18" t="s">
        <v>41</v>
      </c>
      <c r="P2201" s="6">
        <v>40563.906655092593</v>
      </c>
      <c r="Q2201" s="16" t="s">
        <v>314</v>
      </c>
      <c r="R2201" s="17" t="s">
        <v>315</v>
      </c>
      <c r="S2201" s="11" t="s">
        <v>316</v>
      </c>
      <c r="T2201" s="12"/>
      <c r="U2201" s="10" t="str">
        <f>HYPERLINK("https://pbs.twimg.com/profile_images/875747575235837952/wZ2YgzDC.jpg","View")</f>
        <v>View</v>
      </c>
    </row>
    <row r="2202" spans="1:21" ht="40.799999999999997">
      <c r="A2202" s="6">
        <v>43440.699143518519</v>
      </c>
      <c r="B2202" s="7" t="str">
        <f>HYPERLINK("https://twitter.com/Diario_Pontev","@Diario_Pontev")</f>
        <v>@Diario_Pontev</v>
      </c>
      <c r="C2202" s="8" t="s">
        <v>319</v>
      </c>
      <c r="D2202" s="9" t="s">
        <v>311</v>
      </c>
      <c r="E2202" s="10" t="str">
        <f>HYPERLINK("https://twitter.com/Diario_Pontev/status/1070706118698131457","1070706118698131457")</f>
        <v>1070706118698131457</v>
      </c>
      <c r="F2202" s="11" t="s">
        <v>321</v>
      </c>
      <c r="G2202" s="12"/>
      <c r="H2202" s="12"/>
      <c r="I2202" s="13">
        <v>0</v>
      </c>
      <c r="J2202" s="13">
        <v>0</v>
      </c>
      <c r="K2202" s="14" t="str">
        <f t="shared" si="384"/>
        <v>TweetDeck</v>
      </c>
      <c r="L2202" s="13">
        <v>14012</v>
      </c>
      <c r="M2202" s="13">
        <v>115</v>
      </c>
      <c r="N2202" s="13">
        <v>299</v>
      </c>
      <c r="O2202" s="15"/>
      <c r="P2202" s="6">
        <v>40500.724293981482</v>
      </c>
      <c r="Q2202" s="16" t="s">
        <v>322</v>
      </c>
      <c r="R2202" s="17" t="s">
        <v>323</v>
      </c>
      <c r="S2202" s="11" t="s">
        <v>324</v>
      </c>
      <c r="T2202" s="12"/>
      <c r="U2202" s="10" t="str">
        <f>HYPERLINK("https://pbs.twimg.com/profile_images/702845582721810432/oSRBBicA.jpg","View")</f>
        <v>View</v>
      </c>
    </row>
    <row r="2203" spans="1:21" ht="30.6">
      <c r="A2203" s="6">
        <v>43440.69908564815</v>
      </c>
      <c r="B2203" s="7" t="str">
        <f>HYPERLINK("https://twitter.com/periodicovzlano","@periodicovzlano")</f>
        <v>@periodicovzlano</v>
      </c>
      <c r="C2203" s="8" t="s">
        <v>869</v>
      </c>
      <c r="D2203" s="9" t="s">
        <v>3001</v>
      </c>
      <c r="E2203" s="10" t="str">
        <f>HYPERLINK("https://twitter.com/periodicovzlano/status/1070706099752460288","1070706099752460288")</f>
        <v>1070706099752460288</v>
      </c>
      <c r="F2203" s="11" t="s">
        <v>2757</v>
      </c>
      <c r="G2203" s="11" t="s">
        <v>7368</v>
      </c>
      <c r="H2203" s="12"/>
      <c r="I2203" s="13">
        <v>1</v>
      </c>
      <c r="J2203" s="13">
        <v>1</v>
      </c>
      <c r="K2203" s="14" t="str">
        <f>HYPERLINK("http://epmundo.com","Tuiteo TOP EP (1)")</f>
        <v>Tuiteo TOP EP (1)</v>
      </c>
      <c r="L2203" s="13">
        <v>479694</v>
      </c>
      <c r="M2203" s="13">
        <v>358804</v>
      </c>
      <c r="N2203" s="13">
        <v>1295</v>
      </c>
      <c r="O2203" s="15"/>
      <c r="P2203" s="6">
        <v>40663.3512962963</v>
      </c>
      <c r="Q2203" s="16" t="s">
        <v>871</v>
      </c>
      <c r="R2203" s="17" t="s">
        <v>872</v>
      </c>
      <c r="S2203" s="11" t="s">
        <v>873</v>
      </c>
      <c r="T2203" s="12"/>
      <c r="U2203" s="10" t="str">
        <f>HYPERLINK("https://pbs.twimg.com/profile_images/958328579250638849/MCz7Q8U6.jpg","View")</f>
        <v>View</v>
      </c>
    </row>
    <row r="2204" spans="1:21" ht="40.799999999999997">
      <c r="A2204" s="6">
        <v>43440.698692129634</v>
      </c>
      <c r="B2204" s="7" t="str">
        <f>HYPERLINK("https://twitter.com/jatirado","@jatirado")</f>
        <v>@jatirado</v>
      </c>
      <c r="C2204" s="8" t="s">
        <v>196</v>
      </c>
      <c r="D2204" s="9" t="s">
        <v>7143</v>
      </c>
      <c r="E2204" s="10" t="str">
        <f>HYPERLINK("https://twitter.com/jatirado/status/1070705955296276480","1070705955296276480")</f>
        <v>1070705955296276480</v>
      </c>
      <c r="F2204" s="11" t="s">
        <v>7369</v>
      </c>
      <c r="G2204" s="11" t="s">
        <v>7370</v>
      </c>
      <c r="H2204" s="12"/>
      <c r="I2204" s="13">
        <v>5</v>
      </c>
      <c r="J2204" s="13">
        <v>1</v>
      </c>
      <c r="K2204" s="14" t="str">
        <f>HYPERLINK("https://dlvrit.com/","dlvr.it")</f>
        <v>dlvr.it</v>
      </c>
      <c r="L2204" s="13">
        <v>81545</v>
      </c>
      <c r="M2204" s="13">
        <v>49760</v>
      </c>
      <c r="N2204" s="13">
        <v>1030</v>
      </c>
      <c r="O2204" s="15"/>
      <c r="P2204" s="6">
        <v>40353.552581018521</v>
      </c>
      <c r="Q2204" s="16" t="s">
        <v>200</v>
      </c>
      <c r="R2204" s="17" t="s">
        <v>201</v>
      </c>
      <c r="S2204" s="11" t="s">
        <v>202</v>
      </c>
      <c r="T2204" s="12"/>
      <c r="U2204" s="10" t="str">
        <f>HYPERLINK("https://pbs.twimg.com/profile_images/485680559742791680/dg68o8vH.jpeg","View")</f>
        <v>View</v>
      </c>
    </row>
    <row r="2205" spans="1:21" ht="40.799999999999997">
      <c r="A2205" s="6">
        <v>43440.696585648147</v>
      </c>
      <c r="B2205" s="7" t="str">
        <f>HYPERLINK("https://twitter.com/viralizeed_es","@viralizeed_es")</f>
        <v>@viralizeed_es</v>
      </c>
      <c r="C2205" s="8" t="s">
        <v>7371</v>
      </c>
      <c r="D2205" s="9" t="s">
        <v>7372</v>
      </c>
      <c r="E2205" s="10" t="str">
        <f>HYPERLINK("https://twitter.com/viralizeed_es/status/1070705194785226752","1070705194785226752")</f>
        <v>1070705194785226752</v>
      </c>
      <c r="F2205" s="11" t="s">
        <v>6731</v>
      </c>
      <c r="G2205" s="12"/>
      <c r="H2205" s="12"/>
      <c r="I2205" s="13">
        <v>0</v>
      </c>
      <c r="J2205" s="13">
        <v>0</v>
      </c>
      <c r="K2205" s="14" t="str">
        <f>HYPERLINK("http://www.es.viralizeed.com","viralizeed_es")</f>
        <v>viralizeed_es</v>
      </c>
      <c r="L2205" s="13">
        <v>1616</v>
      </c>
      <c r="M2205" s="13">
        <v>906</v>
      </c>
      <c r="N2205" s="13">
        <v>28</v>
      </c>
      <c r="O2205" s="15"/>
      <c r="P2205" s="6">
        <v>42538.670567129629</v>
      </c>
      <c r="Q2205" s="12"/>
      <c r="R2205" s="17" t="s">
        <v>7373</v>
      </c>
      <c r="S2205" s="11" t="s">
        <v>7374</v>
      </c>
      <c r="T2205" s="12"/>
      <c r="U2205" s="10" t="str">
        <f>HYPERLINK("https://pbs.twimg.com/profile_images/743809086295252993/AD3q42v-.jpg","View")</f>
        <v>View</v>
      </c>
    </row>
    <row r="2206" spans="1:21" ht="20.399999999999999">
      <c r="A2206" s="6">
        <v>43440.69636574074</v>
      </c>
      <c r="B2206" s="7" t="str">
        <f>HYPERLINK("https://twitter.com/Intermamx","@Intermamx")</f>
        <v>@Intermamx</v>
      </c>
      <c r="C2206" s="8" t="s">
        <v>7375</v>
      </c>
      <c r="D2206" s="9" t="s">
        <v>7376</v>
      </c>
      <c r="E2206" s="10" t="str">
        <f>HYPERLINK("https://twitter.com/Intermamx/status/1070705113847746560","1070705113847746560")</f>
        <v>1070705113847746560</v>
      </c>
      <c r="F2206" s="11" t="s">
        <v>7377</v>
      </c>
      <c r="G2206" s="12"/>
      <c r="H2206" s="12"/>
      <c r="I2206" s="13">
        <v>0</v>
      </c>
      <c r="J2206" s="13">
        <v>0</v>
      </c>
      <c r="K2206" s="14" t="str">
        <f t="shared" ref="K2206:K2207" si="385">HYPERLINK("http://twitter.com/download/android","Twitter for Android")</f>
        <v>Twitter for Android</v>
      </c>
      <c r="L2206" s="13">
        <v>69</v>
      </c>
      <c r="M2206" s="13">
        <v>170</v>
      </c>
      <c r="N2206" s="13">
        <v>0</v>
      </c>
      <c r="O2206" s="15"/>
      <c r="P2206" s="6">
        <v>41948.134108796294</v>
      </c>
      <c r="Q2206" s="12"/>
      <c r="R2206" s="19"/>
      <c r="S2206" s="12"/>
      <c r="T2206" s="12"/>
      <c r="U2206" s="10" t="str">
        <f>HYPERLINK("https://pbs.twimg.com/profile_images/532982816993054720/xDJzwmpw.jpeg","View")</f>
        <v>View</v>
      </c>
    </row>
    <row r="2207" spans="1:21" ht="40.799999999999997">
      <c r="A2207" s="6">
        <v>43440.695219907408</v>
      </c>
      <c r="B2207" s="7" t="str">
        <f>HYPERLINK("https://twitter.com/Ke_Les_Den","@Ke_Les_Den")</f>
        <v>@Ke_Les_Den</v>
      </c>
      <c r="C2207" s="8" t="s">
        <v>1873</v>
      </c>
      <c r="D2207" s="9" t="s">
        <v>6792</v>
      </c>
      <c r="E2207" s="10" t="str">
        <f>HYPERLINK("https://twitter.com/Ke_Les_Den/status/1070704697017815040","1070704697017815040")</f>
        <v>1070704697017815040</v>
      </c>
      <c r="F2207" s="12"/>
      <c r="G2207" s="11" t="s">
        <v>6793</v>
      </c>
      <c r="H2207" s="12"/>
      <c r="I2207" s="13">
        <v>25</v>
      </c>
      <c r="J2207" s="13">
        <v>24</v>
      </c>
      <c r="K2207" s="14" t="str">
        <f t="shared" si="385"/>
        <v>Twitter for Android</v>
      </c>
      <c r="L2207" s="13">
        <v>863</v>
      </c>
      <c r="M2207" s="13">
        <v>1981</v>
      </c>
      <c r="N2207" s="13">
        <v>1</v>
      </c>
      <c r="O2207" s="15"/>
      <c r="P2207" s="6">
        <v>42849.633483796293</v>
      </c>
      <c r="Q2207" s="12"/>
      <c r="R2207" s="17" t="s">
        <v>1875</v>
      </c>
      <c r="S2207" s="12"/>
      <c r="T2207" s="12"/>
      <c r="U2207" s="10" t="str">
        <f>HYPERLINK("https://pbs.twimg.com/profile_images/856777751755358208/AquT2MXe.jpg","View")</f>
        <v>View</v>
      </c>
    </row>
    <row r="2208" spans="1:21" ht="30.6">
      <c r="A2208" s="6">
        <v>43440.694768518515</v>
      </c>
      <c r="B2208" s="7" t="str">
        <f>HYPERLINK("https://twitter.com/Karandls","@Karandls")</f>
        <v>@Karandls</v>
      </c>
      <c r="C2208" s="8" t="s">
        <v>7378</v>
      </c>
      <c r="D2208" s="9" t="s">
        <v>4627</v>
      </c>
      <c r="E2208" s="10" t="str">
        <f>HYPERLINK("https://twitter.com/Karandls/status/1070704535449026560","1070704535449026560")</f>
        <v>1070704535449026560</v>
      </c>
      <c r="F2208" s="11" t="s">
        <v>4628</v>
      </c>
      <c r="G2208" s="12"/>
      <c r="H2208" s="12"/>
      <c r="I2208" s="13">
        <v>0</v>
      </c>
      <c r="J2208" s="13">
        <v>0</v>
      </c>
      <c r="K2208" s="14" t="str">
        <f t="shared" ref="K2208:K2209" si="386">HYPERLINK("http://twitter.com","Twitter Web Client")</f>
        <v>Twitter Web Client</v>
      </c>
      <c r="L2208" s="13">
        <v>408</v>
      </c>
      <c r="M2208" s="13">
        <v>1013</v>
      </c>
      <c r="N2208" s="13">
        <v>23</v>
      </c>
      <c r="O2208" s="15"/>
      <c r="P2208" s="6">
        <v>40691.007187499999</v>
      </c>
      <c r="Q2208" s="16" t="s">
        <v>60</v>
      </c>
      <c r="R2208" s="17" t="s">
        <v>7379</v>
      </c>
      <c r="S2208" s="12"/>
      <c r="T2208" s="12"/>
      <c r="U2208" s="10" t="str">
        <f>HYPERLINK("https://pbs.twimg.com/profile_images/528465788144189440/8o-nGe1b.jpeg","View")</f>
        <v>View</v>
      </c>
    </row>
    <row r="2209" spans="1:21" ht="30.6">
      <c r="A2209" s="6">
        <v>43440.694733796292</v>
      </c>
      <c r="B2209" s="7" t="str">
        <f>HYPERLINK("https://twitter.com/Pedro_Castro","@Pedro_Castro")</f>
        <v>@Pedro_Castro</v>
      </c>
      <c r="C2209" s="8" t="s">
        <v>140</v>
      </c>
      <c r="D2209" s="9" t="s">
        <v>7380</v>
      </c>
      <c r="E2209" s="10" t="str">
        <f>HYPERLINK("https://twitter.com/Pedro_Castro/status/1070704524099239936","1070704524099239936")</f>
        <v>1070704524099239936</v>
      </c>
      <c r="F2209" s="11" t="s">
        <v>7381</v>
      </c>
      <c r="G2209" s="12"/>
      <c r="H2209" s="12"/>
      <c r="I2209" s="13">
        <v>0</v>
      </c>
      <c r="J2209" s="13">
        <v>0</v>
      </c>
      <c r="K2209" s="14" t="str">
        <f t="shared" si="386"/>
        <v>Twitter Web Client</v>
      </c>
      <c r="L2209" s="13">
        <v>12369</v>
      </c>
      <c r="M2209" s="13">
        <v>5931</v>
      </c>
      <c r="N2209" s="13">
        <v>412</v>
      </c>
      <c r="O2209" s="15"/>
      <c r="P2209" s="6">
        <v>39811.502395833333</v>
      </c>
      <c r="Q2209" s="16" t="s">
        <v>144</v>
      </c>
      <c r="R2209" s="17" t="s">
        <v>145</v>
      </c>
      <c r="S2209" s="11" t="s">
        <v>146</v>
      </c>
      <c r="T2209" s="12"/>
      <c r="U2209" s="10" t="str">
        <f>HYPERLINK("https://pbs.twimg.com/profile_images/1423190616/203177_1104736911_528524_n2.jpg","View")</f>
        <v>View</v>
      </c>
    </row>
    <row r="2210" spans="1:21" ht="30.6">
      <c r="A2210" s="6">
        <v>43440.694479166668</v>
      </c>
      <c r="B2210" s="7" t="str">
        <f>HYPERLINK("https://twitter.com/qmunty","@qmunty")</f>
        <v>@qmunty</v>
      </c>
      <c r="C2210" s="8" t="s">
        <v>4151</v>
      </c>
      <c r="D2210" s="9" t="s">
        <v>7382</v>
      </c>
      <c r="E2210" s="10" t="str">
        <f>HYPERLINK("https://twitter.com/qmunty/status/1070704431694561285","1070704431694561285")</f>
        <v>1070704431694561285</v>
      </c>
      <c r="F2210" s="11" t="s">
        <v>7383</v>
      </c>
      <c r="G2210" s="12"/>
      <c r="H2210" s="12"/>
      <c r="I2210" s="13">
        <v>0</v>
      </c>
      <c r="J2210" s="13">
        <v>0</v>
      </c>
      <c r="K2210" s="14" t="str">
        <f>HYPERLINK("https://buffer.com","Buffer")</f>
        <v>Buffer</v>
      </c>
      <c r="L2210" s="13">
        <v>6691</v>
      </c>
      <c r="M2210" s="13">
        <v>1523</v>
      </c>
      <c r="N2210" s="13">
        <v>269</v>
      </c>
      <c r="O2210" s="15"/>
      <c r="P2210" s="6">
        <v>40077.707986111112</v>
      </c>
      <c r="Q2210" s="16" t="s">
        <v>4154</v>
      </c>
      <c r="R2210" s="17" t="s">
        <v>4155</v>
      </c>
      <c r="S2210" s="11" t="s">
        <v>4156</v>
      </c>
      <c r="T2210" s="12"/>
      <c r="U2210" s="10" t="str">
        <f>HYPERLINK("https://pbs.twimg.com/profile_images/1739128206/Panther-Logo-Twitter.jpg","View")</f>
        <v>View</v>
      </c>
    </row>
    <row r="2211" spans="1:21" ht="40.799999999999997">
      <c r="A2211" s="6">
        <v>43440.694479166668</v>
      </c>
      <c r="B2211" s="7" t="str">
        <f>HYPERLINK("https://twitter.com/BCNmetropoli","@BCNmetropoli")</f>
        <v>@BCNmetropoli</v>
      </c>
      <c r="C2211" s="8" t="s">
        <v>7384</v>
      </c>
      <c r="D2211" s="9" t="s">
        <v>7385</v>
      </c>
      <c r="E2211" s="10" t="str">
        <f>HYPERLINK("https://twitter.com/BCNmetropoli/status/1070704431564509184","1070704431564509184")</f>
        <v>1070704431564509184</v>
      </c>
      <c r="F2211" s="11" t="s">
        <v>7386</v>
      </c>
      <c r="G2211" s="12"/>
      <c r="H2211" s="12"/>
      <c r="I2211" s="13">
        <v>0</v>
      </c>
      <c r="J2211" s="13">
        <v>1</v>
      </c>
      <c r="K2211" s="14" t="str">
        <f>HYPERLINK("https://www.hootsuite.com","Hootsuite Inc.")</f>
        <v>Hootsuite Inc.</v>
      </c>
      <c r="L2211" s="13">
        <v>1851</v>
      </c>
      <c r="M2211" s="13">
        <v>269</v>
      </c>
      <c r="N2211" s="13">
        <v>37</v>
      </c>
      <c r="O2211" s="15"/>
      <c r="P2211" s="6">
        <v>42739.501203703709</v>
      </c>
      <c r="Q2211" s="16" t="s">
        <v>87</v>
      </c>
      <c r="R2211" s="17" t="s">
        <v>7387</v>
      </c>
      <c r="S2211" s="12"/>
      <c r="T2211" s="12"/>
      <c r="U2211" s="10" t="str">
        <f>HYPERLINK("https://pbs.twimg.com/profile_images/935529251977269249/bSl_nApS.jpg","View")</f>
        <v>View</v>
      </c>
    </row>
    <row r="2212" spans="1:21" ht="51">
      <c r="A2212" s="6">
        <v>43440.693125000005</v>
      </c>
      <c r="B2212" s="7" t="str">
        <f>HYPERLINK("https://twitter.com/RealidadLp","@RealidadLp")</f>
        <v>@RealidadLp</v>
      </c>
      <c r="C2212" s="8" t="s">
        <v>6803</v>
      </c>
      <c r="D2212" s="9" t="s">
        <v>6804</v>
      </c>
      <c r="E2212" s="10" t="str">
        <f>HYPERLINK("https://twitter.com/RealidadLp/status/1070703938545115136","1070703938545115136")</f>
        <v>1070703938545115136</v>
      </c>
      <c r="F2212" s="11" t="s">
        <v>398</v>
      </c>
      <c r="G2212" s="12"/>
      <c r="H2212" s="12"/>
      <c r="I2212" s="13">
        <v>0</v>
      </c>
      <c r="J2212" s="13">
        <v>0</v>
      </c>
      <c r="K2212" s="14" t="str">
        <f t="shared" ref="K2212:K2213" si="387">HYPERLINK("http://twitter.com/download/iphone","Twitter for iPhone")</f>
        <v>Twitter for iPhone</v>
      </c>
      <c r="L2212" s="13">
        <v>3</v>
      </c>
      <c r="M2212" s="13">
        <v>10</v>
      </c>
      <c r="N2212" s="13">
        <v>0</v>
      </c>
      <c r="O2212" s="15"/>
      <c r="P2212" s="6">
        <v>43427.276261574079</v>
      </c>
      <c r="Q2212" s="16" t="s">
        <v>119</v>
      </c>
      <c r="R2212" s="19"/>
      <c r="S2212" s="12"/>
      <c r="T2212" s="12"/>
      <c r="U2212" s="18" t="s">
        <v>67</v>
      </c>
    </row>
    <row r="2213" spans="1:21" ht="30.6">
      <c r="A2213" s="6">
        <v>43440.693101851852</v>
      </c>
      <c r="B2213" s="7" t="str">
        <f>HYPERLINK("https://twitter.com/libertadzarautz","@libertadzarautz")</f>
        <v>@libertadzarautz</v>
      </c>
      <c r="C2213" s="8" t="s">
        <v>3742</v>
      </c>
      <c r="D2213" s="9" t="s">
        <v>7388</v>
      </c>
      <c r="E2213" s="10" t="str">
        <f>HYPERLINK("https://twitter.com/libertadzarautz/status/1070703931314049024","1070703931314049024")</f>
        <v>1070703931314049024</v>
      </c>
      <c r="F2213" s="11" t="s">
        <v>2089</v>
      </c>
      <c r="G2213" s="12"/>
      <c r="H2213" s="12"/>
      <c r="I2213" s="13">
        <v>0</v>
      </c>
      <c r="J2213" s="13">
        <v>0</v>
      </c>
      <c r="K2213" s="14" t="str">
        <f t="shared" si="387"/>
        <v>Twitter for iPhone</v>
      </c>
      <c r="L2213" s="13">
        <v>1287</v>
      </c>
      <c r="M2213" s="13">
        <v>1202</v>
      </c>
      <c r="N2213" s="13">
        <v>17</v>
      </c>
      <c r="O2213" s="15"/>
      <c r="P2213" s="6">
        <v>40691.56177083333</v>
      </c>
      <c r="Q2213" s="16" t="s">
        <v>3746</v>
      </c>
      <c r="R2213" s="17" t="s">
        <v>3747</v>
      </c>
      <c r="S2213" s="12"/>
      <c r="T2213" s="12"/>
      <c r="U2213" s="10" t="str">
        <f>HYPERLINK("https://pbs.twimg.com/profile_images/1051022264689397761/rTrrRTpx.jpg","View")</f>
        <v>View</v>
      </c>
    </row>
    <row r="2214" spans="1:21" ht="40.799999999999997">
      <c r="A2214" s="6">
        <v>43440.692685185189</v>
      </c>
      <c r="B2214" s="7" t="str">
        <f>HYPERLINK("https://twitter.com/diostuitero","@diostuitero")</f>
        <v>@diostuitero</v>
      </c>
      <c r="C2214" s="8" t="s">
        <v>7389</v>
      </c>
      <c r="D2214" s="9" t="s">
        <v>7390</v>
      </c>
      <c r="E2214" s="10" t="str">
        <f>HYPERLINK("https://twitter.com/diostuitero/status/1070703777911631874","1070703777911631874")</f>
        <v>1070703777911631874</v>
      </c>
      <c r="F2214" s="12"/>
      <c r="G2214" s="12"/>
      <c r="H2214" s="12"/>
      <c r="I2214" s="13">
        <v>2558</v>
      </c>
      <c r="J2214" s="13">
        <v>5310</v>
      </c>
      <c r="K2214" s="14" t="str">
        <f t="shared" ref="K2214:K2215" si="388">HYPERLINK("http://twitter.com/download/android","Twitter for Android")</f>
        <v>Twitter for Android</v>
      </c>
      <c r="L2214" s="13">
        <v>478364</v>
      </c>
      <c r="M2214" s="13">
        <v>995</v>
      </c>
      <c r="N2214" s="13">
        <v>2897</v>
      </c>
      <c r="O2214" s="15"/>
      <c r="P2214" s="6">
        <v>41156.99927083333</v>
      </c>
      <c r="Q2214" s="16" t="s">
        <v>7391</v>
      </c>
      <c r="R2214" s="17" t="s">
        <v>7392</v>
      </c>
      <c r="S2214" s="11" t="s">
        <v>7393</v>
      </c>
      <c r="T2214" s="12"/>
      <c r="U2214" s="10" t="str">
        <f>HYPERLINK("https://pbs.twimg.com/profile_images/831603470067257345/-Vk84NaH.jpg","View")</f>
        <v>View</v>
      </c>
    </row>
    <row r="2215" spans="1:21" ht="40.799999999999997">
      <c r="A2215" s="6">
        <v>43440.69259259259</v>
      </c>
      <c r="B2215" s="7" t="str">
        <f>HYPERLINK("https://twitter.com/17101981wedding","@17101981wedding")</f>
        <v>@17101981wedding</v>
      </c>
      <c r="C2215" s="8" t="s">
        <v>7394</v>
      </c>
      <c r="D2215" s="9" t="s">
        <v>7395</v>
      </c>
      <c r="E2215" s="10" t="str">
        <f>HYPERLINK("https://twitter.com/17101981wedding/status/1070703746248818688","1070703746248818688")</f>
        <v>1070703746248818688</v>
      </c>
      <c r="F2215" s="11" t="s">
        <v>6393</v>
      </c>
      <c r="G2215" s="12"/>
      <c r="H2215" s="12"/>
      <c r="I2215" s="13">
        <v>13</v>
      </c>
      <c r="J2215" s="13">
        <v>22</v>
      </c>
      <c r="K2215" s="14" t="str">
        <f t="shared" si="388"/>
        <v>Twitter for Android</v>
      </c>
      <c r="L2215" s="13">
        <v>10397</v>
      </c>
      <c r="M2215" s="13">
        <v>10093</v>
      </c>
      <c r="N2215" s="13">
        <v>11</v>
      </c>
      <c r="O2215" s="15"/>
      <c r="P2215" s="6">
        <v>41444.233495370368</v>
      </c>
      <c r="Q2215" s="16" t="s">
        <v>60</v>
      </c>
      <c r="R2215" s="17" t="s">
        <v>7396</v>
      </c>
      <c r="S2215" s="12"/>
      <c r="T2215" s="12"/>
      <c r="U2215" s="10" t="str">
        <f>HYPERLINK("https://pbs.twimg.com/profile_images/971156588877811714/8x80uvOo.jpg","View")</f>
        <v>View</v>
      </c>
    </row>
    <row r="2216" spans="1:21" ht="40.799999999999997">
      <c r="A2216" s="6">
        <v>43440.691041666665</v>
      </c>
      <c r="B2216" s="7" t="str">
        <f>HYPERLINK("https://twitter.com/MiguelTrinidadA","@MiguelTrinidadA")</f>
        <v>@MiguelTrinidadA</v>
      </c>
      <c r="C2216" s="8" t="s">
        <v>292</v>
      </c>
      <c r="D2216" s="9" t="s">
        <v>7397</v>
      </c>
      <c r="E2216" s="10" t="str">
        <f>HYPERLINK("https://twitter.com/MiguelTrinidadA/status/1070703183792607233","1070703183792607233")</f>
        <v>1070703183792607233</v>
      </c>
      <c r="F2216" s="11" t="s">
        <v>7398</v>
      </c>
      <c r="G2216" s="12"/>
      <c r="H2216" s="12"/>
      <c r="I2216" s="13">
        <v>0</v>
      </c>
      <c r="J2216" s="13">
        <v>1</v>
      </c>
      <c r="K2216" s="14" t="str">
        <f>HYPERLINK("http://twitter.com","Twitter Web Client")</f>
        <v>Twitter Web Client</v>
      </c>
      <c r="L2216" s="13">
        <v>3529</v>
      </c>
      <c r="M2216" s="13">
        <v>3678</v>
      </c>
      <c r="N2216" s="13">
        <v>35</v>
      </c>
      <c r="O2216" s="15"/>
      <c r="P2216" s="6">
        <v>41180.740416666667</v>
      </c>
      <c r="Q2216" s="16" t="s">
        <v>60</v>
      </c>
      <c r="R2216" s="17" t="s">
        <v>295</v>
      </c>
      <c r="S2216" s="12"/>
      <c r="T2216" s="12"/>
      <c r="U2216" s="10" t="str">
        <f>HYPERLINK("https://pbs.twimg.com/profile_images/843509060167262210/lz-DfFMm.jpg","View")</f>
        <v>View</v>
      </c>
    </row>
    <row r="2217" spans="1:21" ht="40.799999999999997">
      <c r="A2217" s="6">
        <v>43440.690972222219</v>
      </c>
      <c r="B2217" s="7" t="str">
        <f>HYPERLINK("https://twitter.com/LiliaMisnovelas","@LiliaMisnovelas")</f>
        <v>@LiliaMisnovelas</v>
      </c>
      <c r="C2217" s="8" t="s">
        <v>7399</v>
      </c>
      <c r="D2217" s="9" t="s">
        <v>7400</v>
      </c>
      <c r="E2217" s="10" t="str">
        <f>HYPERLINK("https://twitter.com/LiliaMisnovelas/status/1070703159998377984","1070703159998377984")</f>
        <v>1070703159998377984</v>
      </c>
      <c r="F2217" s="11" t="s">
        <v>6731</v>
      </c>
      <c r="G2217" s="12"/>
      <c r="H2217" s="12"/>
      <c r="I2217" s="13">
        <v>0</v>
      </c>
      <c r="J2217" s="13">
        <v>0</v>
      </c>
      <c r="K2217" s="14" t="str">
        <f>HYPERLINK("http://twitter.com/download/android","Twitter for Android")</f>
        <v>Twitter for Android</v>
      </c>
      <c r="L2217" s="13">
        <v>1167</v>
      </c>
      <c r="M2217" s="13">
        <v>3631</v>
      </c>
      <c r="N2217" s="13">
        <v>21</v>
      </c>
      <c r="O2217" s="15"/>
      <c r="P2217" s="6">
        <v>41660.106481481482</v>
      </c>
      <c r="Q2217" s="16" t="s">
        <v>7401</v>
      </c>
      <c r="R2217" s="17" t="s">
        <v>7402</v>
      </c>
      <c r="S2217" s="11" t="s">
        <v>7403</v>
      </c>
      <c r="T2217" s="12"/>
      <c r="U2217" s="10" t="str">
        <f>HYPERLINK("https://pbs.twimg.com/profile_images/922971579235160065/MQEMLQ61.jpg","View")</f>
        <v>View</v>
      </c>
    </row>
    <row r="2218" spans="1:21" ht="20.399999999999999">
      <c r="A2218" s="6">
        <v>43440.690891203703</v>
      </c>
      <c r="B2218" s="7" t="str">
        <f>HYPERLINK("https://twitter.com/sumariumcom","@sumariumcom")</f>
        <v>@sumariumcom</v>
      </c>
      <c r="C2218" s="8" t="s">
        <v>4525</v>
      </c>
      <c r="D2218" s="9" t="s">
        <v>4680</v>
      </c>
      <c r="E2218" s="10" t="str">
        <f>HYPERLINK("https://twitter.com/sumariumcom/status/1070703128910159872","1070703128910159872")</f>
        <v>1070703128910159872</v>
      </c>
      <c r="F2218" s="11" t="s">
        <v>6113</v>
      </c>
      <c r="G2218" s="11" t="s">
        <v>7404</v>
      </c>
      <c r="H2218" s="12"/>
      <c r="I2218" s="13">
        <v>0</v>
      </c>
      <c r="J2218" s="13">
        <v>0</v>
      </c>
      <c r="K2218" s="14" t="str">
        <f>HYPERLINK("https://about.twitter.com/products/tweetdeck","TweetDeck")</f>
        <v>TweetDeck</v>
      </c>
      <c r="L2218" s="13">
        <v>164401</v>
      </c>
      <c r="M2218" s="13">
        <v>996</v>
      </c>
      <c r="N2218" s="13">
        <v>1122</v>
      </c>
      <c r="O2218" s="15"/>
      <c r="P2218" s="6">
        <v>40977.809594907405</v>
      </c>
      <c r="Q2218" s="16" t="s">
        <v>4529</v>
      </c>
      <c r="R2218" s="19"/>
      <c r="S2218" s="11" t="s">
        <v>4530</v>
      </c>
      <c r="T2218" s="12"/>
      <c r="U2218" s="10" t="str">
        <f>HYPERLINK("https://pbs.twimg.com/profile_images/1061987847874469888/mok5IDTt.jpg","View")</f>
        <v>View</v>
      </c>
    </row>
    <row r="2219" spans="1:21" ht="40.799999999999997">
      <c r="A2219" s="6">
        <v>43440.689513888894</v>
      </c>
      <c r="B2219" s="7" t="str">
        <f>HYPERLINK("https://twitter.com/_sentido_comun","@_sentido_comun")</f>
        <v>@_sentido_comun</v>
      </c>
      <c r="C2219" s="8" t="s">
        <v>7405</v>
      </c>
      <c r="D2219" s="9" t="s">
        <v>7406</v>
      </c>
      <c r="E2219" s="10" t="str">
        <f>HYPERLINK("https://twitter.com/_sentido_comun/status/1070702631142727680","1070702631142727680")</f>
        <v>1070702631142727680</v>
      </c>
      <c r="F2219" s="11" t="s">
        <v>3050</v>
      </c>
      <c r="G2219" s="11" t="s">
        <v>3051</v>
      </c>
      <c r="H2219" s="12"/>
      <c r="I2219" s="13">
        <v>1</v>
      </c>
      <c r="J2219" s="13">
        <v>2</v>
      </c>
      <c r="K2219" s="14" t="str">
        <f>HYPERLINK("http://twitter.com/download/android","Twitter for Android")</f>
        <v>Twitter for Android</v>
      </c>
      <c r="L2219" s="13">
        <v>959</v>
      </c>
      <c r="M2219" s="13">
        <v>228</v>
      </c>
      <c r="N2219" s="13">
        <v>4</v>
      </c>
      <c r="O2219" s="15"/>
      <c r="P2219" s="6">
        <v>42257.825821759259</v>
      </c>
      <c r="Q2219" s="16" t="s">
        <v>7407</v>
      </c>
      <c r="R2219" s="17" t="s">
        <v>7408</v>
      </c>
      <c r="S2219" s="12"/>
      <c r="T2219" s="12"/>
      <c r="U2219" s="10" t="str">
        <f>HYPERLINK("https://pbs.twimg.com/profile_images/1069506546994954241/6ugY0ZUl.jpg","View")</f>
        <v>View</v>
      </c>
    </row>
    <row r="2220" spans="1:21" ht="20.399999999999999">
      <c r="A2220" s="6">
        <v>43440.687638888892</v>
      </c>
      <c r="B2220" s="7" t="str">
        <f>HYPERLINK("https://twitter.com/InfoHeaders_Tes","@InfoHeaders_Tes")</f>
        <v>@InfoHeaders_Tes</v>
      </c>
      <c r="C2220" s="8" t="s">
        <v>4360</v>
      </c>
      <c r="D2220" s="9" t="s">
        <v>7409</v>
      </c>
      <c r="E2220" s="10" t="str">
        <f>HYPERLINK("https://twitter.com/InfoHeaders_Tes/status/1070701952609214465","1070701952609214465")</f>
        <v>1070701952609214465</v>
      </c>
      <c r="F2220" s="11" t="s">
        <v>3120</v>
      </c>
      <c r="G2220" s="12"/>
      <c r="H2220" s="12"/>
      <c r="I2220" s="13">
        <v>0</v>
      </c>
      <c r="J2220" s="13">
        <v>0</v>
      </c>
      <c r="K2220" s="14" t="str">
        <f>HYPERLINK("http://www.infoheaders.com","Send _Tw_INFH_Test")</f>
        <v>Send _Tw_INFH_Test</v>
      </c>
      <c r="L2220" s="13">
        <v>201</v>
      </c>
      <c r="M2220" s="13">
        <v>1</v>
      </c>
      <c r="N2220" s="13">
        <v>100</v>
      </c>
      <c r="O2220" s="15"/>
      <c r="P2220" s="6">
        <v>41315.710497685184</v>
      </c>
      <c r="Q2220" s="16" t="s">
        <v>60</v>
      </c>
      <c r="R2220" s="17" t="s">
        <v>4363</v>
      </c>
      <c r="S2220" s="11" t="s">
        <v>4364</v>
      </c>
      <c r="T2220" s="12"/>
      <c r="U2220" s="10" t="str">
        <f>HYPERLINK("https://pbs.twimg.com/profile_images/3234700567/566c3c8e394f76d77a41eafe1bfc7aa3.jpeg","View")</f>
        <v>View</v>
      </c>
    </row>
    <row r="2221" spans="1:21" ht="30.6">
      <c r="A2221" s="6">
        <v>43440.6875</v>
      </c>
      <c r="B2221" s="7" t="str">
        <f>HYPERLINK("https://twitter.com/los_replicantes","@los_replicantes")</f>
        <v>@los_replicantes</v>
      </c>
      <c r="C2221" s="8" t="s">
        <v>7410</v>
      </c>
      <c r="D2221" s="9" t="s">
        <v>7411</v>
      </c>
      <c r="E2221" s="10" t="str">
        <f>HYPERLINK("https://twitter.com/los_replicantes/status/1070701900054519808","1070701900054519808")</f>
        <v>1070701900054519808</v>
      </c>
      <c r="F2221" s="11" t="s">
        <v>7412</v>
      </c>
      <c r="G2221" s="11" t="s">
        <v>7413</v>
      </c>
      <c r="H2221" s="12"/>
      <c r="I2221" s="13">
        <v>0</v>
      </c>
      <c r="J2221" s="13">
        <v>0</v>
      </c>
      <c r="K2221" s="14" t="str">
        <f>HYPERLINK("https://about.twitter.com/products/tweetdeck","TweetDeck")</f>
        <v>TweetDeck</v>
      </c>
      <c r="L2221" s="13">
        <v>11882</v>
      </c>
      <c r="M2221" s="13">
        <v>271</v>
      </c>
      <c r="N2221" s="13">
        <v>222</v>
      </c>
      <c r="O2221" s="15"/>
      <c r="P2221" s="6">
        <v>40252.517604166671</v>
      </c>
      <c r="Q2221" s="12"/>
      <c r="R2221" s="17" t="s">
        <v>7414</v>
      </c>
      <c r="S2221" s="11" t="s">
        <v>7415</v>
      </c>
      <c r="T2221" s="12"/>
      <c r="U2221" s="10" t="str">
        <f>HYPERLINK("https://pbs.twimg.com/profile_images/1018872125698998272/CSELtZwH.jpg","View")</f>
        <v>View</v>
      </c>
    </row>
    <row r="2222" spans="1:21" ht="30.6">
      <c r="A2222" s="6">
        <v>43440.687314814815</v>
      </c>
      <c r="B2222" s="7" t="str">
        <f>HYPERLINK("https://twitter.com/Pedro_Castro","@Pedro_Castro")</f>
        <v>@Pedro_Castro</v>
      </c>
      <c r="C2222" s="8" t="s">
        <v>140</v>
      </c>
      <c r="D2222" s="9" t="s">
        <v>7416</v>
      </c>
      <c r="E2222" s="10" t="str">
        <f>HYPERLINK("https://twitter.com/Pedro_Castro/status/1070701833306415104","1070701833306415104")</f>
        <v>1070701833306415104</v>
      </c>
      <c r="F2222" s="11" t="s">
        <v>7417</v>
      </c>
      <c r="G2222" s="12"/>
      <c r="H2222" s="12"/>
      <c r="I2222" s="13">
        <v>0</v>
      </c>
      <c r="J2222" s="13">
        <v>0</v>
      </c>
      <c r="K2222" s="14" t="str">
        <f>HYPERLINK("http://twitter.com","Twitter Web Client")</f>
        <v>Twitter Web Client</v>
      </c>
      <c r="L2222" s="13">
        <v>12369</v>
      </c>
      <c r="M2222" s="13">
        <v>5931</v>
      </c>
      <c r="N2222" s="13">
        <v>412</v>
      </c>
      <c r="O2222" s="15"/>
      <c r="P2222" s="6">
        <v>39811.502395833333</v>
      </c>
      <c r="Q2222" s="16" t="s">
        <v>144</v>
      </c>
      <c r="R2222" s="17" t="s">
        <v>145</v>
      </c>
      <c r="S2222" s="11" t="s">
        <v>146</v>
      </c>
      <c r="T2222" s="12"/>
      <c r="U2222" s="10" t="str">
        <f>HYPERLINK("https://pbs.twimg.com/profile_images/1423190616/203177_1104736911_528524_n2.jpg","View")</f>
        <v>View</v>
      </c>
    </row>
    <row r="2223" spans="1:21" ht="20.399999999999999">
      <c r="A2223" s="6">
        <v>43440.686736111107</v>
      </c>
      <c r="B2223" s="7" t="str">
        <f>HYPERLINK("https://twitter.com/Irenegco","@Irenegco")</f>
        <v>@Irenegco</v>
      </c>
      <c r="C2223" s="8" t="s">
        <v>7418</v>
      </c>
      <c r="D2223" s="9" t="s">
        <v>2088</v>
      </c>
      <c r="E2223" s="10" t="str">
        <f>HYPERLINK("https://twitter.com/Irenegco/status/1070701622425198594","1070701622425198594")</f>
        <v>1070701622425198594</v>
      </c>
      <c r="F2223" s="11" t="s">
        <v>2089</v>
      </c>
      <c r="G2223" s="12"/>
      <c r="H2223" s="12"/>
      <c r="I2223" s="13">
        <v>0</v>
      </c>
      <c r="J2223" s="13">
        <v>0</v>
      </c>
      <c r="K2223" s="14" t="str">
        <f>HYPERLINK("http://twitter.com/download/android","Twitter for Android")</f>
        <v>Twitter for Android</v>
      </c>
      <c r="L2223" s="13">
        <v>477</v>
      </c>
      <c r="M2223" s="13">
        <v>503</v>
      </c>
      <c r="N2223" s="13">
        <v>10</v>
      </c>
      <c r="O2223" s="15"/>
      <c r="P2223" s="6">
        <v>40436.88217592593</v>
      </c>
      <c r="Q2223" s="16" t="s">
        <v>26</v>
      </c>
      <c r="R2223" s="17" t="s">
        <v>7419</v>
      </c>
      <c r="S2223" s="12"/>
      <c r="T2223" s="12"/>
      <c r="U2223" s="10" t="str">
        <f>HYPERLINK("https://pbs.twimg.com/profile_images/1060560683627151360/h8ZvuOZj.jpg","View")</f>
        <v>View</v>
      </c>
    </row>
    <row r="2224" spans="1:21" ht="20.399999999999999">
      <c r="A2224" s="6">
        <v>43440.686539351853</v>
      </c>
      <c r="B2224" s="7" t="str">
        <f>HYPERLINK("https://twitter.com/CAUTEXA","@CAUTEXA")</f>
        <v>@CAUTEXA</v>
      </c>
      <c r="C2224" s="8" t="s">
        <v>3028</v>
      </c>
      <c r="D2224" s="9" t="s">
        <v>3436</v>
      </c>
      <c r="E2224" s="10" t="str">
        <f>HYPERLINK("https://twitter.com/CAUTEXA/status/1070701553793814528","1070701553793814528")</f>
        <v>1070701553793814528</v>
      </c>
      <c r="F2224" s="11" t="s">
        <v>3437</v>
      </c>
      <c r="G2224" s="12"/>
      <c r="H2224" s="12"/>
      <c r="I2224" s="13">
        <v>0</v>
      </c>
      <c r="J2224" s="13">
        <v>0</v>
      </c>
      <c r="K2224" s="14" t="str">
        <f>HYPERLINK("http://twitter.com","Twitter Web Client")</f>
        <v>Twitter Web Client</v>
      </c>
      <c r="L2224" s="13">
        <v>103</v>
      </c>
      <c r="M2224" s="13">
        <v>266</v>
      </c>
      <c r="N2224" s="13">
        <v>1</v>
      </c>
      <c r="O2224" s="15"/>
      <c r="P2224" s="6">
        <v>40532.002060185187</v>
      </c>
      <c r="Q2224" s="16" t="s">
        <v>1560</v>
      </c>
      <c r="R2224" s="19"/>
      <c r="S2224" s="12"/>
      <c r="T2224" s="12"/>
      <c r="U2224" s="10" t="str">
        <f>HYPERLINK("https://pbs.twimg.com/profile_images/1834253769/MGA.jpg","View")</f>
        <v>View</v>
      </c>
    </row>
    <row r="2225" spans="1:21" ht="20.399999999999999">
      <c r="A2225" s="6">
        <v>43440.685983796298</v>
      </c>
      <c r="B2225" s="7" t="str">
        <f>HYPERLINK("https://twitter.com/psalaburu","@psalaburu")</f>
        <v>@psalaburu</v>
      </c>
      <c r="C2225" s="8" t="s">
        <v>7420</v>
      </c>
      <c r="D2225" s="9" t="s">
        <v>7421</v>
      </c>
      <c r="E2225" s="10" t="str">
        <f>HYPERLINK("https://twitter.com/psalaburu/status/1070701350365945856","1070701350365945856")</f>
        <v>1070701350365945856</v>
      </c>
      <c r="F2225" s="11" t="s">
        <v>7422</v>
      </c>
      <c r="G2225" s="12"/>
      <c r="H2225" s="12"/>
      <c r="I2225" s="13">
        <v>0</v>
      </c>
      <c r="J2225" s="13">
        <v>0</v>
      </c>
      <c r="K2225" s="14" t="str">
        <f>HYPERLINK("http://twitter.com/download/iphone","Twitter for iPhone")</f>
        <v>Twitter for iPhone</v>
      </c>
      <c r="L2225" s="13">
        <v>797</v>
      </c>
      <c r="M2225" s="13">
        <v>620</v>
      </c>
      <c r="N2225" s="13">
        <v>11</v>
      </c>
      <c r="O2225" s="15"/>
      <c r="P2225" s="6">
        <v>39976.40425925926</v>
      </c>
      <c r="Q2225" s="12"/>
      <c r="R2225" s="17" t="s">
        <v>7423</v>
      </c>
      <c r="S2225" s="12"/>
      <c r="T2225" s="12"/>
      <c r="U2225" s="10" t="str">
        <f>HYPERLINK("https://pbs.twimg.com/profile_images/844587304714940417/2O57uv5Q.jpg","View")</f>
        <v>View</v>
      </c>
    </row>
    <row r="2226" spans="1:21" ht="20.399999999999999">
      <c r="A2226" s="6">
        <v>43440.685810185183</v>
      </c>
      <c r="B2226" s="7" t="str">
        <f>HYPERLINK("https://twitter.com/_A_Zero","@_A_Zero")</f>
        <v>@_A_Zero</v>
      </c>
      <c r="C2226" s="8" t="s">
        <v>1734</v>
      </c>
      <c r="D2226" s="9" t="s">
        <v>7424</v>
      </c>
      <c r="E2226" s="10" t="str">
        <f>HYPERLINK("https://twitter.com/_A_Zero/status/1070701287438737409","1070701287438737409")</f>
        <v>1070701287438737409</v>
      </c>
      <c r="F2226" s="12"/>
      <c r="G2226" s="11" t="s">
        <v>7425</v>
      </c>
      <c r="H2226" s="12"/>
      <c r="I2226" s="13">
        <v>76</v>
      </c>
      <c r="J2226" s="13">
        <v>100</v>
      </c>
      <c r="K2226" s="14" t="str">
        <f>HYPERLINK("http://twitter.com/download/android","Twitter for Android")</f>
        <v>Twitter for Android</v>
      </c>
      <c r="L2226" s="13">
        <v>3827</v>
      </c>
      <c r="M2226" s="13">
        <v>4995</v>
      </c>
      <c r="N2226" s="13">
        <v>4</v>
      </c>
      <c r="O2226" s="15"/>
      <c r="P2226" s="6">
        <v>42905.394884259258</v>
      </c>
      <c r="Q2226" s="16" t="s">
        <v>60</v>
      </c>
      <c r="R2226" s="17" t="s">
        <v>1736</v>
      </c>
      <c r="S2226" s="12"/>
      <c r="T2226" s="12"/>
      <c r="U2226" s="10" t="str">
        <f>HYPERLINK("https://pbs.twimg.com/profile_images/1068903160759103488/CYNLa8WO.jpg","View")</f>
        <v>View</v>
      </c>
    </row>
    <row r="2227" spans="1:21" ht="30.6">
      <c r="A2227" s="6">
        <v>43440.684189814812</v>
      </c>
      <c r="B2227" s="7" t="str">
        <f>HYPERLINK("https://twitter.com/NoticiarioES","@NoticiarioES")</f>
        <v>@NoticiarioES</v>
      </c>
      <c r="C2227" s="8" t="s">
        <v>7426</v>
      </c>
      <c r="D2227" s="9" t="s">
        <v>7427</v>
      </c>
      <c r="E2227" s="10" t="str">
        <f>HYPERLINK("https://twitter.com/NoticiarioES/status/1070700702761172993","1070700702761172993")</f>
        <v>1070700702761172993</v>
      </c>
      <c r="F2227" s="16" t="s">
        <v>7428</v>
      </c>
      <c r="G2227" s="11" t="s">
        <v>7429</v>
      </c>
      <c r="H2227" s="12"/>
      <c r="I2227" s="13">
        <v>0</v>
      </c>
      <c r="J2227" s="13">
        <v>0</v>
      </c>
      <c r="K2227" s="14" t="str">
        <f>HYPERLINK("https://buffer.com","Buffer")</f>
        <v>Buffer</v>
      </c>
      <c r="L2227" s="13">
        <v>203</v>
      </c>
      <c r="M2227" s="13">
        <v>6</v>
      </c>
      <c r="N2227" s="13">
        <v>5</v>
      </c>
      <c r="O2227" s="15"/>
      <c r="P2227" s="6">
        <v>39678.946342592593</v>
      </c>
      <c r="Q2227" s="16" t="s">
        <v>7430</v>
      </c>
      <c r="R2227" s="17" t="s">
        <v>7431</v>
      </c>
      <c r="S2227" s="11" t="s">
        <v>7432</v>
      </c>
      <c r="T2227" s="12"/>
      <c r="U2227" s="10" t="str">
        <f>HYPERLINK("https://pbs.twimg.com/profile_images/994642847935664130/qdn8TSqA.jpg","View")</f>
        <v>View</v>
      </c>
    </row>
    <row r="2228" spans="1:21" ht="30.6">
      <c r="A2228" s="6">
        <v>43440.683703703704</v>
      </c>
      <c r="B2228" s="7" t="str">
        <f>HYPERLINK("https://twitter.com/leragna","@leragna")</f>
        <v>@leragna</v>
      </c>
      <c r="C2228" s="8" t="s">
        <v>7433</v>
      </c>
      <c r="D2228" s="9" t="s">
        <v>7434</v>
      </c>
      <c r="E2228" s="10" t="str">
        <f>HYPERLINK("https://twitter.com/leragna/status/1070700524238966786","1070700524238966786")</f>
        <v>1070700524238966786</v>
      </c>
      <c r="F2228" s="11" t="s">
        <v>7435</v>
      </c>
      <c r="G2228" s="12"/>
      <c r="H2228" s="12"/>
      <c r="I2228" s="13">
        <v>0</v>
      </c>
      <c r="J2228" s="13">
        <v>0</v>
      </c>
      <c r="K2228" s="14" t="str">
        <f t="shared" ref="K2228:K2229" si="389">HYPERLINK("http://twitter.com/download/android","Twitter for Android")</f>
        <v>Twitter for Android</v>
      </c>
      <c r="L2228" s="13">
        <v>1892</v>
      </c>
      <c r="M2228" s="13">
        <v>2488</v>
      </c>
      <c r="N2228" s="13">
        <v>27</v>
      </c>
      <c r="O2228" s="15"/>
      <c r="P2228" s="6">
        <v>40475.736192129625</v>
      </c>
      <c r="Q2228" s="16" t="s">
        <v>228</v>
      </c>
      <c r="R2228" s="17" t="s">
        <v>7436</v>
      </c>
      <c r="S2228" s="11" t="s">
        <v>7437</v>
      </c>
      <c r="T2228" s="12"/>
      <c r="U2228" s="10" t="str">
        <f>HYPERLINK("https://pbs.twimg.com/profile_images/417791363686883329/c8jX566q.jpeg","View")</f>
        <v>View</v>
      </c>
    </row>
    <row r="2229" spans="1:21" ht="30.6">
      <c r="A2229" s="6">
        <v>43440.683425925927</v>
      </c>
      <c r="B2229" s="7" t="str">
        <f>HYPERLINK("https://twitter.com/claega_clara","@claega_clara")</f>
        <v>@claega_clara</v>
      </c>
      <c r="C2229" s="8" t="s">
        <v>6146</v>
      </c>
      <c r="D2229" s="9" t="s">
        <v>7438</v>
      </c>
      <c r="E2229" s="10" t="str">
        <f>HYPERLINK("https://twitter.com/claega_clara/status/1070700425014337536","1070700425014337536")</f>
        <v>1070700425014337536</v>
      </c>
      <c r="F2229" s="11" t="s">
        <v>6478</v>
      </c>
      <c r="G2229" s="12"/>
      <c r="H2229" s="12"/>
      <c r="I2229" s="13">
        <v>0</v>
      </c>
      <c r="J2229" s="13">
        <v>3</v>
      </c>
      <c r="K2229" s="14" t="str">
        <f t="shared" si="389"/>
        <v>Twitter for Android</v>
      </c>
      <c r="L2229" s="13">
        <v>5396</v>
      </c>
      <c r="M2229" s="13">
        <v>4009</v>
      </c>
      <c r="N2229" s="13">
        <v>34</v>
      </c>
      <c r="O2229" s="15"/>
      <c r="P2229" s="6">
        <v>41392.988067129627</v>
      </c>
      <c r="Q2229" s="12"/>
      <c r="R2229" s="17" t="s">
        <v>6148</v>
      </c>
      <c r="S2229" s="12"/>
      <c r="T2229" s="12"/>
      <c r="U2229" s="10" t="str">
        <f>HYPERLINK("https://pbs.twimg.com/profile_images/1054323017176834048/5v_78iKi.jpg","View")</f>
        <v>View</v>
      </c>
    </row>
    <row r="2230" spans="1:21" ht="30.6">
      <c r="A2230" s="6">
        <v>43440.68340277778</v>
      </c>
      <c r="B2230" s="7" t="str">
        <f>HYPERLINK("https://twitter.com/Liverdades","@Liverdades")</f>
        <v>@Liverdades</v>
      </c>
      <c r="C2230" s="8" t="s">
        <v>5463</v>
      </c>
      <c r="D2230" s="9" t="s">
        <v>5426</v>
      </c>
      <c r="E2230" s="10" t="str">
        <f>HYPERLINK("https://twitter.com/Liverdades/status/1070700416554348544","1070700416554348544")</f>
        <v>1070700416554348544</v>
      </c>
      <c r="F2230" s="11" t="s">
        <v>7439</v>
      </c>
      <c r="G2230" s="11" t="s">
        <v>7440</v>
      </c>
      <c r="H2230" s="12"/>
      <c r="I2230" s="13">
        <v>0</v>
      </c>
      <c r="J2230" s="13">
        <v>0</v>
      </c>
      <c r="K2230" s="14" t="str">
        <f>HYPERLINK("https://dlvrit.com/","dlvr.it")</f>
        <v>dlvr.it</v>
      </c>
      <c r="L2230" s="13">
        <v>3503</v>
      </c>
      <c r="M2230" s="13">
        <v>3470</v>
      </c>
      <c r="N2230" s="13">
        <v>68</v>
      </c>
      <c r="O2230" s="15"/>
      <c r="P2230" s="6">
        <v>41743.492881944447</v>
      </c>
      <c r="Q2230" s="16" t="s">
        <v>85</v>
      </c>
      <c r="R2230" s="17" t="s">
        <v>5466</v>
      </c>
      <c r="S2230" s="11" t="s">
        <v>5467</v>
      </c>
      <c r="T2230" s="12"/>
      <c r="U2230" s="10" t="str">
        <f>HYPERLINK("https://pbs.twimg.com/profile_images/685407826445996032/eVcXWMVo.png","View")</f>
        <v>View</v>
      </c>
    </row>
    <row r="2231" spans="1:21" ht="40.799999999999997">
      <c r="A2231" s="6">
        <v>43440.682800925926</v>
      </c>
      <c r="B2231" s="7" t="str">
        <f>HYPERLINK("https://twitter.com/Pablo_RM_13","@Pablo_RM_13")</f>
        <v>@Pablo_RM_13</v>
      </c>
      <c r="C2231" s="8" t="s">
        <v>609</v>
      </c>
      <c r="D2231" s="9" t="s">
        <v>7441</v>
      </c>
      <c r="E2231" s="10" t="str">
        <f>HYPERLINK("https://twitter.com/Pablo_RM_13/status/1070700198559662080","1070700198559662080")</f>
        <v>1070700198559662080</v>
      </c>
      <c r="F2231" s="12"/>
      <c r="G2231" s="12"/>
      <c r="H2231" s="12"/>
      <c r="I2231" s="13">
        <v>0</v>
      </c>
      <c r="J2231" s="13">
        <v>0</v>
      </c>
      <c r="K2231" s="14" t="str">
        <f>HYPERLINK("http://twitter.com","Twitter Web Client")</f>
        <v>Twitter Web Client</v>
      </c>
      <c r="L2231" s="13">
        <v>2105</v>
      </c>
      <c r="M2231" s="13">
        <v>1250</v>
      </c>
      <c r="N2231" s="13">
        <v>26</v>
      </c>
      <c r="O2231" s="15"/>
      <c r="P2231" s="6">
        <v>42626.00445601852</v>
      </c>
      <c r="Q2231" s="16" t="s">
        <v>611</v>
      </c>
      <c r="R2231" s="17" t="s">
        <v>612</v>
      </c>
      <c r="S2231" s="12"/>
      <c r="T2231" s="12"/>
      <c r="U2231" s="10" t="str">
        <f>HYPERLINK("https://pbs.twimg.com/profile_images/1056497072717905920/jd3ck4vA.jpg","View")</f>
        <v>View</v>
      </c>
    </row>
    <row r="2232" spans="1:21" ht="40.799999999999997">
      <c r="A2232" s="6">
        <v>43440.68246527778</v>
      </c>
      <c r="B2232" s="7" t="str">
        <f>HYPERLINK("https://twitter.com/europapress_tv","@europapress_tv")</f>
        <v>@europapress_tv</v>
      </c>
      <c r="C2232" s="8" t="s">
        <v>958</v>
      </c>
      <c r="D2232" s="9" t="s">
        <v>6843</v>
      </c>
      <c r="E2232" s="10" t="str">
        <f>HYPERLINK("https://twitter.com/europapress_tv/status/1070700074655715328","1070700074655715328")</f>
        <v>1070700074655715328</v>
      </c>
      <c r="F2232" s="12"/>
      <c r="G2232" s="11" t="s">
        <v>6844</v>
      </c>
      <c r="H2232" s="12"/>
      <c r="I2232" s="13">
        <v>1</v>
      </c>
      <c r="J2232" s="13">
        <v>1</v>
      </c>
      <c r="K2232" s="14" t="str">
        <f>HYPERLINK("https://studio.twitter.com","Twitter Media Studio")</f>
        <v>Twitter Media Studio</v>
      </c>
      <c r="L2232" s="13">
        <v>10491</v>
      </c>
      <c r="M2232" s="13">
        <v>447</v>
      </c>
      <c r="N2232" s="13">
        <v>233</v>
      </c>
      <c r="O2232" s="18" t="s">
        <v>41</v>
      </c>
      <c r="P2232" s="6">
        <v>41087.506342592591</v>
      </c>
      <c r="Q2232" s="16" t="s">
        <v>60</v>
      </c>
      <c r="R2232" s="17" t="s">
        <v>962</v>
      </c>
      <c r="S2232" s="11" t="s">
        <v>963</v>
      </c>
      <c r="T2232" s="12"/>
      <c r="U2232" s="10" t="str">
        <f>HYPERLINK("https://pbs.twimg.com/profile_images/520566141542887424/kS5nICev.jpeg","View")</f>
        <v>View</v>
      </c>
    </row>
    <row r="2233" spans="1:21" ht="20.399999999999999">
      <c r="A2233" s="6">
        <v>43440.682384259257</v>
      </c>
      <c r="B2233" s="7" t="str">
        <f>HYPERLINK("https://twitter.com/rojygua","@rojygua")</f>
        <v>@rojygua</v>
      </c>
      <c r="C2233" s="8" t="s">
        <v>7442</v>
      </c>
      <c r="D2233" s="9" t="s">
        <v>5013</v>
      </c>
      <c r="E2233" s="10" t="str">
        <f>HYPERLINK("https://twitter.com/rojygua/status/1070700047413714945","1070700047413714945")</f>
        <v>1070700047413714945</v>
      </c>
      <c r="F2233" s="11" t="s">
        <v>398</v>
      </c>
      <c r="G2233" s="12"/>
      <c r="H2233" s="12"/>
      <c r="I2233" s="13">
        <v>0</v>
      </c>
      <c r="J2233" s="13">
        <v>0</v>
      </c>
      <c r="K2233" s="14" t="str">
        <f t="shared" ref="K2233:K2235" si="390">HYPERLINK("http://twitter.com/download/android","Twitter for Android")</f>
        <v>Twitter for Android</v>
      </c>
      <c r="L2233" s="13">
        <v>226</v>
      </c>
      <c r="M2233" s="13">
        <v>149</v>
      </c>
      <c r="N2233" s="13">
        <v>2</v>
      </c>
      <c r="O2233" s="15"/>
      <c r="P2233" s="6">
        <v>43214.860868055555</v>
      </c>
      <c r="Q2233" s="16" t="s">
        <v>60</v>
      </c>
      <c r="R2233" s="17" t="s">
        <v>7443</v>
      </c>
      <c r="S2233" s="12"/>
      <c r="T2233" s="12"/>
      <c r="U2233" s="10" t="str">
        <f>HYPERLINK("https://pbs.twimg.com/profile_images/1026534807906529284/k1BVMeIr.jpg","View")</f>
        <v>View</v>
      </c>
    </row>
    <row r="2234" spans="1:21" ht="30.6">
      <c r="A2234" s="6">
        <v>43440.681342592594</v>
      </c>
      <c r="B2234" s="7" t="str">
        <f>HYPERLINK("https://twitter.com/UntepojuEdad","@UntepojuEdad")</f>
        <v>@UntepojuEdad</v>
      </c>
      <c r="C2234" s="8" t="s">
        <v>1834</v>
      </c>
      <c r="D2234" s="9" t="s">
        <v>6851</v>
      </c>
      <c r="E2234" s="10" t="str">
        <f>HYPERLINK("https://twitter.com/UntepojuEdad/status/1070699669305593861","1070699669305593861")</f>
        <v>1070699669305593861</v>
      </c>
      <c r="F2234" s="11" t="s">
        <v>6852</v>
      </c>
      <c r="G2234" s="12"/>
      <c r="H2234" s="12"/>
      <c r="I2234" s="13">
        <v>0</v>
      </c>
      <c r="J2234" s="13">
        <v>0</v>
      </c>
      <c r="K2234" s="14" t="str">
        <f t="shared" si="390"/>
        <v>Twitter for Android</v>
      </c>
      <c r="L2234" s="13">
        <v>14</v>
      </c>
      <c r="M2234" s="13">
        <v>101</v>
      </c>
      <c r="N2234" s="13">
        <v>0</v>
      </c>
      <c r="O2234" s="15"/>
      <c r="P2234" s="6">
        <v>41793.970312500001</v>
      </c>
      <c r="Q2234" s="12"/>
      <c r="R2234" s="17" t="s">
        <v>1835</v>
      </c>
      <c r="S2234" s="12"/>
      <c r="T2234" s="12"/>
      <c r="U2234" s="10" t="str">
        <f>HYPERLINK("https://pbs.twimg.com/profile_images/1040861704991789057/xe0IKTny.jpg","View")</f>
        <v>View</v>
      </c>
    </row>
    <row r="2235" spans="1:21" ht="51">
      <c r="A2235" s="6">
        <v>43440.681168981479</v>
      </c>
      <c r="B2235" s="7" t="str">
        <f>HYPERLINK("https://twitter.com/And89_3","@And89_3")</f>
        <v>@And89_3</v>
      </c>
      <c r="C2235" s="8" t="s">
        <v>6911</v>
      </c>
      <c r="D2235" s="9" t="s">
        <v>7444</v>
      </c>
      <c r="E2235" s="10" t="str">
        <f>HYPERLINK("https://twitter.com/And89_3/status/1070699605652852736","1070699605652852736")</f>
        <v>1070699605652852736</v>
      </c>
      <c r="F2235" s="12"/>
      <c r="G2235" s="12"/>
      <c r="H2235" s="12"/>
      <c r="I2235" s="13">
        <v>0</v>
      </c>
      <c r="J2235" s="13">
        <v>2</v>
      </c>
      <c r="K2235" s="14" t="str">
        <f t="shared" si="390"/>
        <v>Twitter for Android</v>
      </c>
      <c r="L2235" s="13">
        <v>1019</v>
      </c>
      <c r="M2235" s="13">
        <v>996</v>
      </c>
      <c r="N2235" s="13">
        <v>3</v>
      </c>
      <c r="O2235" s="15"/>
      <c r="P2235" s="6">
        <v>40576.058587962965</v>
      </c>
      <c r="Q2235" s="16" t="s">
        <v>26</v>
      </c>
      <c r="R2235" s="17" t="s">
        <v>7445</v>
      </c>
      <c r="S2235" s="12"/>
      <c r="T2235" s="12"/>
      <c r="U2235" s="10" t="str">
        <f>HYPERLINK("https://pbs.twimg.com/profile_images/980943987593883649/4iw9ufCm.jpg","View")</f>
        <v>View</v>
      </c>
    </row>
    <row r="2236" spans="1:21" ht="20.399999999999999">
      <c r="A2236" s="6">
        <v>43440.681006944447</v>
      </c>
      <c r="B2236" s="7" t="str">
        <f>HYPERLINK("https://twitter.com/catymu2","@catymu2")</f>
        <v>@catymu2</v>
      </c>
      <c r="C2236" s="8" t="s">
        <v>1908</v>
      </c>
      <c r="D2236" s="9" t="s">
        <v>5023</v>
      </c>
      <c r="E2236" s="10" t="str">
        <f>HYPERLINK("https://twitter.com/catymu2/status/1070699546789982208","1070699546789982208")</f>
        <v>1070699546789982208</v>
      </c>
      <c r="F2236" s="11" t="s">
        <v>6393</v>
      </c>
      <c r="G2236" s="12"/>
      <c r="H2236" s="12"/>
      <c r="I2236" s="13">
        <v>0</v>
      </c>
      <c r="J2236" s="13">
        <v>0</v>
      </c>
      <c r="K2236" s="14" t="str">
        <f>HYPERLINK("http://twitter.com","Twitter Web Client")</f>
        <v>Twitter Web Client</v>
      </c>
      <c r="L2236" s="13">
        <v>43</v>
      </c>
      <c r="M2236" s="13">
        <v>129</v>
      </c>
      <c r="N2236" s="13">
        <v>0</v>
      </c>
      <c r="O2236" s="15"/>
      <c r="P2236" s="6">
        <v>42432.456226851849</v>
      </c>
      <c r="Q2236" s="16" t="s">
        <v>60</v>
      </c>
      <c r="R2236" s="19"/>
      <c r="S2236" s="12"/>
      <c r="T2236" s="12"/>
      <c r="U2236" s="10" t="str">
        <f>HYPERLINK("https://pbs.twimg.com/profile_images/1009103258785402882/34q9w8XC.jpg","View")</f>
        <v>View</v>
      </c>
    </row>
    <row r="2237" spans="1:21" ht="40.799999999999997">
      <c r="A2237" s="6">
        <v>43440.680729166663</v>
      </c>
      <c r="B2237" s="7" t="str">
        <f>HYPERLINK("https://twitter.com/SrCarbonell","@SrCarbonell")</f>
        <v>@SrCarbonell</v>
      </c>
      <c r="C2237" s="8" t="s">
        <v>7446</v>
      </c>
      <c r="D2237" s="9" t="s">
        <v>7447</v>
      </c>
      <c r="E2237" s="10" t="str">
        <f>HYPERLINK("https://twitter.com/SrCarbonell/status/1070699447468875779","1070699447468875779")</f>
        <v>1070699447468875779</v>
      </c>
      <c r="F2237" s="12"/>
      <c r="G2237" s="12"/>
      <c r="H2237" s="12"/>
      <c r="I2237" s="13">
        <v>0</v>
      </c>
      <c r="J2237" s="13">
        <v>1</v>
      </c>
      <c r="K2237" s="14" t="str">
        <f>HYPERLINK("http://twitter.com/download/android","Twitter for Android")</f>
        <v>Twitter for Android</v>
      </c>
      <c r="L2237" s="13">
        <v>1210</v>
      </c>
      <c r="M2237" s="13">
        <v>309</v>
      </c>
      <c r="N2237" s="13">
        <v>33</v>
      </c>
      <c r="O2237" s="15"/>
      <c r="P2237" s="6">
        <v>40874.803842592592</v>
      </c>
      <c r="Q2237" s="16" t="s">
        <v>7448</v>
      </c>
      <c r="R2237" s="17" t="s">
        <v>7449</v>
      </c>
      <c r="S2237" s="11" t="s">
        <v>7450</v>
      </c>
      <c r="T2237" s="12"/>
      <c r="U2237" s="10" t="str">
        <f>HYPERLINK("https://pbs.twimg.com/profile_images/1062130959041093632/LwUz8NBG.jpg","View")</f>
        <v>View</v>
      </c>
    </row>
    <row r="2238" spans="1:21" ht="40.799999999999997">
      <c r="A2238" s="6">
        <v>43440.680625000001</v>
      </c>
      <c r="B2238" s="7" t="str">
        <f>HYPERLINK("https://twitter.com/lextresabogados","@lextresabogados")</f>
        <v>@lextresabogados</v>
      </c>
      <c r="C2238" s="8" t="s">
        <v>226</v>
      </c>
      <c r="D2238" s="9" t="s">
        <v>7451</v>
      </c>
      <c r="E2238" s="10" t="str">
        <f>HYPERLINK("https://twitter.com/lextresabogados/status/1070699409615306752","1070699409615306752")</f>
        <v>1070699409615306752</v>
      </c>
      <c r="F2238" s="11" t="s">
        <v>7452</v>
      </c>
      <c r="G2238" s="12"/>
      <c r="H2238" s="12"/>
      <c r="I2238" s="13">
        <v>1</v>
      </c>
      <c r="J2238" s="13">
        <v>0</v>
      </c>
      <c r="K2238" s="14" t="str">
        <f>HYPERLINK("http://35.180.36.179","botize nueva")</f>
        <v>botize nueva</v>
      </c>
      <c r="L2238" s="13">
        <v>2912</v>
      </c>
      <c r="M2238" s="13">
        <v>3525</v>
      </c>
      <c r="N2238" s="13">
        <v>26</v>
      </c>
      <c r="O2238" s="15"/>
      <c r="P2238" s="6">
        <v>42880.770949074074</v>
      </c>
      <c r="Q2238" s="16" t="s">
        <v>230</v>
      </c>
      <c r="R2238" s="17" t="s">
        <v>231</v>
      </c>
      <c r="S2238" s="11" t="s">
        <v>232</v>
      </c>
      <c r="T2238" s="12"/>
      <c r="U2238" s="10" t="str">
        <f>HYPERLINK("https://pbs.twimg.com/profile_images/1068056978679898113/YnjKwiVy.jpg","View")</f>
        <v>View</v>
      </c>
    </row>
    <row r="2239" spans="1:21" ht="51">
      <c r="A2239" s="6">
        <v>43440.679768518516</v>
      </c>
      <c r="B2239" s="7" t="str">
        <f>HYPERLINK("https://twitter.com/arturelpayaso2","@arturelpayaso2")</f>
        <v>@arturelpayaso2</v>
      </c>
      <c r="C2239" s="8" t="s">
        <v>508</v>
      </c>
      <c r="D2239" s="9" t="s">
        <v>7453</v>
      </c>
      <c r="E2239" s="10" t="str">
        <f>HYPERLINK("https://twitter.com/arturelpayaso2/status/1070699098230177792","1070699098230177792")</f>
        <v>1070699098230177792</v>
      </c>
      <c r="F2239" s="12"/>
      <c r="G2239" s="11" t="s">
        <v>7454</v>
      </c>
      <c r="H2239" s="12"/>
      <c r="I2239" s="13">
        <v>32</v>
      </c>
      <c r="J2239" s="13">
        <v>45</v>
      </c>
      <c r="K2239" s="14" t="str">
        <f>HYPERLINK("http://twitter.com/download/iphone","Twitter for iPhone")</f>
        <v>Twitter for iPhone</v>
      </c>
      <c r="L2239" s="13">
        <v>22804</v>
      </c>
      <c r="M2239" s="13">
        <v>4956</v>
      </c>
      <c r="N2239" s="13">
        <v>143</v>
      </c>
      <c r="O2239" s="15"/>
      <c r="P2239" s="6">
        <v>42514.717685185184</v>
      </c>
      <c r="Q2239" s="16" t="s">
        <v>511</v>
      </c>
      <c r="R2239" s="17" t="s">
        <v>512</v>
      </c>
      <c r="S2239" s="12"/>
      <c r="T2239" s="12"/>
      <c r="U2239" s="10" t="str">
        <f>HYPERLINK("https://pbs.twimg.com/profile_images/1008798326878343168/_PyUUais.jpg","View")</f>
        <v>View</v>
      </c>
    </row>
    <row r="2240" spans="1:21" ht="30.6">
      <c r="A2240" s="6">
        <v>43440.679756944446</v>
      </c>
      <c r="B2240" s="7" t="str">
        <f>HYPERLINK("https://twitter.com/AThable","@AThable")</f>
        <v>@AThable</v>
      </c>
      <c r="C2240" s="8" t="s">
        <v>308</v>
      </c>
      <c r="D2240" s="9" t="s">
        <v>7455</v>
      </c>
      <c r="E2240" s="10" t="str">
        <f>HYPERLINK("https://twitter.com/AThable/status/1070699094241435648","1070699094241435648")</f>
        <v>1070699094241435648</v>
      </c>
      <c r="F2240" s="11" t="s">
        <v>6478</v>
      </c>
      <c r="G2240" s="12"/>
      <c r="H2240" s="12"/>
      <c r="I2240" s="13">
        <v>0</v>
      </c>
      <c r="J2240" s="13">
        <v>0</v>
      </c>
      <c r="K2240" s="14" t="str">
        <f t="shared" ref="K2240:K2242" si="391">HYPERLINK("http://twitter.com/download/android","Twitter for Android")</f>
        <v>Twitter for Android</v>
      </c>
      <c r="L2240" s="13">
        <v>135</v>
      </c>
      <c r="M2240" s="13">
        <v>254</v>
      </c>
      <c r="N2240" s="13">
        <v>4</v>
      </c>
      <c r="O2240" s="15"/>
      <c r="P2240" s="6">
        <v>41734.528715277775</v>
      </c>
      <c r="Q2240" s="12"/>
      <c r="R2240" s="19"/>
      <c r="S2240" s="12"/>
      <c r="T2240" s="12"/>
      <c r="U2240" s="10" t="str">
        <f>HYPERLINK("https://pbs.twimg.com/profile_images/452396308738105344/uAoxhinN.jpeg","View")</f>
        <v>View</v>
      </c>
    </row>
    <row r="2241" spans="1:21" ht="30.6">
      <c r="A2241" s="6">
        <v>43440.679201388892</v>
      </c>
      <c r="B2241" s="7" t="str">
        <f>HYPERLINK("https://twitter.com/valesia2","@valesia2")</f>
        <v>@valesia2</v>
      </c>
      <c r="C2241" s="8" t="s">
        <v>7456</v>
      </c>
      <c r="D2241" s="9" t="s">
        <v>5023</v>
      </c>
      <c r="E2241" s="10" t="str">
        <f>HYPERLINK("https://twitter.com/valesia2/status/1070698894391238656","1070698894391238656")</f>
        <v>1070698894391238656</v>
      </c>
      <c r="F2241" s="11" t="s">
        <v>6393</v>
      </c>
      <c r="G2241" s="12"/>
      <c r="H2241" s="12"/>
      <c r="I2241" s="13">
        <v>0</v>
      </c>
      <c r="J2241" s="13">
        <v>1</v>
      </c>
      <c r="K2241" s="14" t="str">
        <f t="shared" si="391"/>
        <v>Twitter for Android</v>
      </c>
      <c r="L2241" s="13">
        <v>1591</v>
      </c>
      <c r="M2241" s="13">
        <v>1515</v>
      </c>
      <c r="N2241" s="13">
        <v>5</v>
      </c>
      <c r="O2241" s="15"/>
      <c r="P2241" s="6">
        <v>40495.845358796294</v>
      </c>
      <c r="Q2241" s="12"/>
      <c r="R2241" s="17" t="s">
        <v>7457</v>
      </c>
      <c r="S2241" s="12"/>
      <c r="T2241" s="12"/>
      <c r="U2241" s="10" t="str">
        <f>HYPERLINK("https://pbs.twimg.com/profile_images/959426220663496704/2x1GnkHD.jpg","View")</f>
        <v>View</v>
      </c>
    </row>
    <row r="2242" spans="1:21" ht="91.8">
      <c r="A2242" s="6">
        <v>43440.67900462963</v>
      </c>
      <c r="B2242" s="7" t="str">
        <f>HYPERLINK("https://twitter.com/Pepo1952","@Pepo1952")</f>
        <v>@Pepo1952</v>
      </c>
      <c r="C2242" s="8" t="s">
        <v>7458</v>
      </c>
      <c r="D2242" s="9" t="s">
        <v>7459</v>
      </c>
      <c r="E2242" s="10" t="str">
        <f>HYPERLINK("https://twitter.com/Pepo1952/status/1070698823545249792","1070698823545249792")</f>
        <v>1070698823545249792</v>
      </c>
      <c r="F2242" s="11" t="s">
        <v>6485</v>
      </c>
      <c r="G2242" s="11" t="s">
        <v>6487</v>
      </c>
      <c r="H2242" s="12"/>
      <c r="I2242" s="13">
        <v>1</v>
      </c>
      <c r="J2242" s="13">
        <v>0</v>
      </c>
      <c r="K2242" s="14" t="str">
        <f t="shared" si="391"/>
        <v>Twitter for Android</v>
      </c>
      <c r="L2242" s="13">
        <v>146</v>
      </c>
      <c r="M2242" s="13">
        <v>268</v>
      </c>
      <c r="N2242" s="13">
        <v>0</v>
      </c>
      <c r="O2242" s="15"/>
      <c r="P2242" s="6">
        <v>42153.4605787037</v>
      </c>
      <c r="Q2242" s="16" t="s">
        <v>7460</v>
      </c>
      <c r="R2242" s="19"/>
      <c r="S2242" s="12"/>
      <c r="T2242" s="12"/>
      <c r="U2242" s="10" t="str">
        <f>HYPERLINK("https://pbs.twimg.com/profile_images/604801691884638208/i2rscXzJ.jpg","View")</f>
        <v>View</v>
      </c>
    </row>
    <row r="2243" spans="1:21" ht="20.399999999999999">
      <c r="A2243" s="6">
        <v>43440.678946759261</v>
      </c>
      <c r="B2243" s="7" t="str">
        <f>HYPERLINK("https://twitter.com/algeec38","@algeec38")</f>
        <v>@algeec38</v>
      </c>
      <c r="C2243" s="8" t="s">
        <v>7461</v>
      </c>
      <c r="D2243" s="9" t="s">
        <v>5074</v>
      </c>
      <c r="E2243" s="10" t="str">
        <f>HYPERLINK("https://twitter.com/algeec38/status/1070698801550254080","1070698801550254080")</f>
        <v>1070698801550254080</v>
      </c>
      <c r="F2243" s="11" t="s">
        <v>5075</v>
      </c>
      <c r="G2243" s="12"/>
      <c r="H2243" s="12"/>
      <c r="I2243" s="13">
        <v>0</v>
      </c>
      <c r="J2243" s="13">
        <v>0</v>
      </c>
      <c r="K2243" s="14" t="str">
        <f>HYPERLINK("http://twitter.com","Twitter Web Client")</f>
        <v>Twitter Web Client</v>
      </c>
      <c r="L2243" s="13">
        <v>44</v>
      </c>
      <c r="M2243" s="13">
        <v>230</v>
      </c>
      <c r="N2243" s="13">
        <v>0</v>
      </c>
      <c r="O2243" s="15"/>
      <c r="P2243" s="6">
        <v>41707.810601851852</v>
      </c>
      <c r="Q2243" s="12"/>
      <c r="R2243" s="19"/>
      <c r="S2243" s="12"/>
      <c r="T2243" s="12"/>
      <c r="U2243" s="18" t="s">
        <v>67</v>
      </c>
    </row>
    <row r="2244" spans="1:21" ht="30.6">
      <c r="A2244" s="6">
        <v>43440.678877314815</v>
      </c>
      <c r="B2244" s="7" t="str">
        <f>HYPERLINK("https://twitter.com/Maspalomas77","@Maspalomas77")</f>
        <v>@Maspalomas77</v>
      </c>
      <c r="C2244" s="8" t="s">
        <v>7462</v>
      </c>
      <c r="D2244" s="9" t="s">
        <v>4459</v>
      </c>
      <c r="E2244" s="10" t="str">
        <f>HYPERLINK("https://twitter.com/Maspalomas77/status/1070698777307156482","1070698777307156482")</f>
        <v>1070698777307156482</v>
      </c>
      <c r="F2244" s="11" t="s">
        <v>2089</v>
      </c>
      <c r="G2244" s="12"/>
      <c r="H2244" s="12"/>
      <c r="I2244" s="13">
        <v>0</v>
      </c>
      <c r="J2244" s="13">
        <v>0</v>
      </c>
      <c r="K2244" s="14" t="str">
        <f>HYPERLINK("http://twitter.com/#!/download/ipad","Twitter for iPad")</f>
        <v>Twitter for iPad</v>
      </c>
      <c r="L2244" s="13">
        <v>898</v>
      </c>
      <c r="M2244" s="13">
        <v>4395</v>
      </c>
      <c r="N2244" s="13">
        <v>22</v>
      </c>
      <c r="O2244" s="15"/>
      <c r="P2244" s="6">
        <v>42310.764409722222</v>
      </c>
      <c r="Q2244" s="16" t="s">
        <v>630</v>
      </c>
      <c r="R2244" s="17" t="s">
        <v>7463</v>
      </c>
      <c r="S2244" s="12"/>
      <c r="T2244" s="12"/>
      <c r="U2244" s="10" t="str">
        <f>HYPERLINK("https://pbs.twimg.com/profile_images/1020649517140660224/QkFJeKfy.jpg","View")</f>
        <v>View</v>
      </c>
    </row>
    <row r="2245" spans="1:21" ht="30.6">
      <c r="A2245" s="6">
        <v>43440.678506944445</v>
      </c>
      <c r="B2245" s="7" t="str">
        <f>HYPERLINK("https://twitter.com/anamartinplaza","@anamartinplaza")</f>
        <v>@anamartinplaza</v>
      </c>
      <c r="C2245" s="8" t="s">
        <v>7465</v>
      </c>
      <c r="D2245" s="9" t="s">
        <v>2361</v>
      </c>
      <c r="E2245" s="10" t="str">
        <f>HYPERLINK("https://twitter.com/anamartinplaza/status/1070698641692745729","1070698641692745729")</f>
        <v>1070698641692745729</v>
      </c>
      <c r="F2245" s="16" t="s">
        <v>2362</v>
      </c>
      <c r="G2245" s="12"/>
      <c r="H2245" s="12"/>
      <c r="I2245" s="13">
        <v>0</v>
      </c>
      <c r="J2245" s="13">
        <v>0</v>
      </c>
      <c r="K2245" s="14" t="str">
        <f>HYPERLINK("http://twitter.com","Twitter Web Client")</f>
        <v>Twitter Web Client</v>
      </c>
      <c r="L2245" s="13">
        <v>1021</v>
      </c>
      <c r="M2245" s="13">
        <v>737</v>
      </c>
      <c r="N2245" s="13">
        <v>59</v>
      </c>
      <c r="O2245" s="15"/>
      <c r="P2245" s="6">
        <v>40682.098020833335</v>
      </c>
      <c r="Q2245" s="12"/>
      <c r="R2245" s="17" t="s">
        <v>7466</v>
      </c>
      <c r="S2245" s="12"/>
      <c r="T2245" s="12"/>
      <c r="U2245" s="10" t="str">
        <f>HYPERLINK("https://pbs.twimg.com/profile_images/1017895015211773953/IG2tQwTo.jpg","View")</f>
        <v>View</v>
      </c>
    </row>
    <row r="2246" spans="1:21" ht="51">
      <c r="A2246" s="6">
        <v>43440.678356481483</v>
      </c>
      <c r="B2246" s="7" t="str">
        <f>HYPERLINK("https://twitter.com/Julianvirome","@Julianvirome")</f>
        <v>@Julianvirome</v>
      </c>
      <c r="C2246" s="8" t="s">
        <v>1034</v>
      </c>
      <c r="D2246" s="9" t="s">
        <v>7467</v>
      </c>
      <c r="E2246" s="10" t="str">
        <f>HYPERLINK("https://twitter.com/Julianvirome/status/1070698585971408896","1070698585971408896")</f>
        <v>1070698585971408896</v>
      </c>
      <c r="F2246" s="12"/>
      <c r="G2246" s="12"/>
      <c r="H2246" s="12"/>
      <c r="I2246" s="13">
        <v>5</v>
      </c>
      <c r="J2246" s="13">
        <v>9</v>
      </c>
      <c r="K2246" s="14" t="str">
        <f>HYPERLINK("http://twitter.com/download/android","Twitter for Android")</f>
        <v>Twitter for Android</v>
      </c>
      <c r="L2246" s="13">
        <v>2630</v>
      </c>
      <c r="M2246" s="13">
        <v>4994</v>
      </c>
      <c r="N2246" s="13">
        <v>23</v>
      </c>
      <c r="O2246" s="15"/>
      <c r="P2246" s="6">
        <v>40630.875810185185</v>
      </c>
      <c r="Q2246" s="16" t="s">
        <v>200</v>
      </c>
      <c r="R2246" s="17" t="s">
        <v>1037</v>
      </c>
      <c r="S2246" s="12"/>
      <c r="T2246" s="12"/>
      <c r="U2246" s="10" t="str">
        <f>HYPERLINK("https://pbs.twimg.com/profile_images/1015475281803530241/aBROVKXy.jpg","View")</f>
        <v>View</v>
      </c>
    </row>
    <row r="2247" spans="1:21" ht="51">
      <c r="A2247" s="6">
        <v>43440.67800925926</v>
      </c>
      <c r="B2247" s="7" t="str">
        <f>HYPERLINK("https://twitter.com/AgoraCampTuria","@AgoraCampTuria")</f>
        <v>@AgoraCampTuria</v>
      </c>
      <c r="C2247" s="8" t="s">
        <v>5503</v>
      </c>
      <c r="D2247" s="9" t="s">
        <v>7468</v>
      </c>
      <c r="E2247" s="10" t="str">
        <f>HYPERLINK("https://twitter.com/AgoraCampTuria/status/1070698461148930049","1070698461148930049")</f>
        <v>1070698461148930049</v>
      </c>
      <c r="F2247" s="11" t="s">
        <v>7469</v>
      </c>
      <c r="G2247" s="11" t="s">
        <v>7470</v>
      </c>
      <c r="H2247" s="12"/>
      <c r="I2247" s="13">
        <v>0</v>
      </c>
      <c r="J2247" s="13">
        <v>0</v>
      </c>
      <c r="K2247" s="14" t="str">
        <f>HYPERLINK("https://ifttt.com","IFTTT")</f>
        <v>IFTTT</v>
      </c>
      <c r="L2247" s="13">
        <v>126</v>
      </c>
      <c r="M2247" s="13">
        <v>135</v>
      </c>
      <c r="N2247" s="13">
        <v>3</v>
      </c>
      <c r="O2247" s="15"/>
      <c r="P2247" s="6">
        <v>42160.515694444446</v>
      </c>
      <c r="Q2247" s="16" t="s">
        <v>5507</v>
      </c>
      <c r="R2247" s="17" t="s">
        <v>5508</v>
      </c>
      <c r="S2247" s="11" t="s">
        <v>5509</v>
      </c>
      <c r="T2247" s="12"/>
      <c r="U2247" s="10" t="str">
        <f>HYPERLINK("https://pbs.twimg.com/profile_images/606768946251984896/7gAdgGD2.jpg","View")</f>
        <v>View</v>
      </c>
    </row>
    <row r="2248" spans="1:21" ht="51">
      <c r="A2248" s="6">
        <v>43440.677847222221</v>
      </c>
      <c r="B2248" s="7" t="str">
        <f>HYPERLINK("https://twitter.com/foetball247","@foetball247")</f>
        <v>@foetball247</v>
      </c>
      <c r="C2248" s="8" t="s">
        <v>7471</v>
      </c>
      <c r="D2248" s="9" t="s">
        <v>7472</v>
      </c>
      <c r="E2248" s="10" t="str">
        <f>HYPERLINK("https://twitter.com/foetball247/status/1070698403359809537","1070698403359809537")</f>
        <v>1070698403359809537</v>
      </c>
      <c r="F2248" s="12"/>
      <c r="G2248" s="11" t="s">
        <v>7473</v>
      </c>
      <c r="H2248" s="12"/>
      <c r="I2248" s="13">
        <v>1</v>
      </c>
      <c r="J2248" s="13">
        <v>1</v>
      </c>
      <c r="K2248" s="14" t="str">
        <f>HYPERLINK("http://twitter.com/download/android","Twitter for Android")</f>
        <v>Twitter for Android</v>
      </c>
      <c r="L2248" s="13">
        <v>5762</v>
      </c>
      <c r="M2248" s="13">
        <v>239</v>
      </c>
      <c r="N2248" s="13">
        <v>149</v>
      </c>
      <c r="O2248" s="15"/>
      <c r="P2248" s="6">
        <v>41885.149178240739</v>
      </c>
      <c r="Q2248" s="16" t="s">
        <v>7474</v>
      </c>
      <c r="R2248" s="17" t="s">
        <v>7475</v>
      </c>
      <c r="S2248" s="11" t="s">
        <v>7476</v>
      </c>
      <c r="T2248" s="12"/>
      <c r="U2248" s="10" t="str">
        <f>HYPERLINK("https://pbs.twimg.com/profile_images/824424385897439236/CdQFDrDZ.jpg","View")</f>
        <v>View</v>
      </c>
    </row>
    <row r="2249" spans="1:21" ht="20.399999999999999">
      <c r="A2249" s="6">
        <v>43440.677743055552</v>
      </c>
      <c r="B2249" s="7" t="str">
        <f>HYPERLINK("https://twitter.com/Vzaino1","@Vzaino1")</f>
        <v>@Vzaino1</v>
      </c>
      <c r="C2249" s="8" t="s">
        <v>1265</v>
      </c>
      <c r="D2249" s="9" t="s">
        <v>7477</v>
      </c>
      <c r="E2249" s="10" t="str">
        <f>HYPERLINK("https://twitter.com/Vzaino1/status/1070698363358756865","1070698363358756865")</f>
        <v>1070698363358756865</v>
      </c>
      <c r="F2249" s="11" t="s">
        <v>6260</v>
      </c>
      <c r="G2249" s="12"/>
      <c r="H2249" s="12"/>
      <c r="I2249" s="13">
        <v>1</v>
      </c>
      <c r="J2249" s="13">
        <v>0</v>
      </c>
      <c r="K2249" s="14" t="str">
        <f t="shared" ref="K2249:K2251" si="392">HYPERLINK("http://twitter.com","Twitter Web Client")</f>
        <v>Twitter Web Client</v>
      </c>
      <c r="L2249" s="13">
        <v>287</v>
      </c>
      <c r="M2249" s="13">
        <v>654</v>
      </c>
      <c r="N2249" s="13">
        <v>0</v>
      </c>
      <c r="O2249" s="15"/>
      <c r="P2249" s="6">
        <v>43402.79069444444</v>
      </c>
      <c r="Q2249" s="12"/>
      <c r="R2249" s="17" t="s">
        <v>1268</v>
      </c>
      <c r="S2249" s="12"/>
      <c r="T2249" s="12"/>
      <c r="U2249" s="18" t="s">
        <v>67</v>
      </c>
    </row>
    <row r="2250" spans="1:21" ht="20.399999999999999">
      <c r="A2250" s="6">
        <v>43440.676782407405</v>
      </c>
      <c r="B2250" s="7" t="str">
        <f>HYPERLINK("https://twitter.com/liberalconserva","@liberalconserva")</f>
        <v>@liberalconserva</v>
      </c>
      <c r="C2250" s="8" t="s">
        <v>7478</v>
      </c>
      <c r="D2250" s="9" t="s">
        <v>4627</v>
      </c>
      <c r="E2250" s="10" t="str">
        <f>HYPERLINK("https://twitter.com/liberalconserva/status/1070698016720543747","1070698016720543747")</f>
        <v>1070698016720543747</v>
      </c>
      <c r="F2250" s="11" t="s">
        <v>4628</v>
      </c>
      <c r="G2250" s="12"/>
      <c r="H2250" s="12"/>
      <c r="I2250" s="13">
        <v>3</v>
      </c>
      <c r="J2250" s="13">
        <v>1</v>
      </c>
      <c r="K2250" s="14" t="str">
        <f t="shared" si="392"/>
        <v>Twitter Web Client</v>
      </c>
      <c r="L2250" s="13">
        <v>589</v>
      </c>
      <c r="M2250" s="13">
        <v>1293</v>
      </c>
      <c r="N2250" s="13">
        <v>15</v>
      </c>
      <c r="O2250" s="15"/>
      <c r="P2250" s="6">
        <v>42314.638425925921</v>
      </c>
      <c r="Q2250" s="16" t="s">
        <v>3342</v>
      </c>
      <c r="R2250" s="19"/>
      <c r="S2250" s="12"/>
      <c r="T2250" s="12"/>
      <c r="U2250" s="18" t="s">
        <v>67</v>
      </c>
    </row>
    <row r="2251" spans="1:21" ht="20.399999999999999">
      <c r="A2251" s="6">
        <v>43440.676666666666</v>
      </c>
      <c r="B2251" s="7" t="str">
        <f>HYPERLINK("https://twitter.com/jlrt_jolrojaslt","@jlrt_jolrojaslt")</f>
        <v>@jlrt_jolrojaslt</v>
      </c>
      <c r="C2251" s="8" t="s">
        <v>7479</v>
      </c>
      <c r="D2251" s="9" t="s">
        <v>7480</v>
      </c>
      <c r="E2251" s="10" t="str">
        <f>HYPERLINK("https://twitter.com/jlrt_jolrojaslt/status/1070697975758929926","1070697975758929926")</f>
        <v>1070697975758929926</v>
      </c>
      <c r="F2251" s="11" t="s">
        <v>7481</v>
      </c>
      <c r="G2251" s="12"/>
      <c r="H2251" s="12"/>
      <c r="I2251" s="13">
        <v>0</v>
      </c>
      <c r="J2251" s="13">
        <v>0</v>
      </c>
      <c r="K2251" s="14" t="str">
        <f t="shared" si="392"/>
        <v>Twitter Web Client</v>
      </c>
      <c r="L2251" s="13">
        <v>442</v>
      </c>
      <c r="M2251" s="13">
        <v>2237</v>
      </c>
      <c r="N2251" s="13">
        <v>0</v>
      </c>
      <c r="O2251" s="15"/>
      <c r="P2251" s="6">
        <v>43078.503159722226</v>
      </c>
      <c r="Q2251" s="12"/>
      <c r="R2251" s="19"/>
      <c r="S2251" s="12"/>
      <c r="T2251" s="12"/>
      <c r="U2251" s="10" t="str">
        <f>HYPERLINK("https://pbs.twimg.com/profile_images/1014890672090992641/9wNB3Ylp.jpg","View")</f>
        <v>View</v>
      </c>
    </row>
    <row r="2252" spans="1:21" ht="30.6">
      <c r="A2252" s="6">
        <v>43440.675138888888</v>
      </c>
      <c r="B2252" s="7" t="str">
        <f>HYPERLINK("https://twitter.com/LaVanguardia","@LaVanguardia")</f>
        <v>@LaVanguardia</v>
      </c>
      <c r="C2252" s="8" t="s">
        <v>297</v>
      </c>
      <c r="D2252" s="9" t="s">
        <v>7482</v>
      </c>
      <c r="E2252" s="10" t="str">
        <f>HYPERLINK("https://twitter.com/LaVanguardia/status/1070697421099933702","1070697421099933702")</f>
        <v>1070697421099933702</v>
      </c>
      <c r="F2252" s="11" t="s">
        <v>7452</v>
      </c>
      <c r="G2252" s="12"/>
      <c r="H2252" s="12"/>
      <c r="I2252" s="13">
        <v>5</v>
      </c>
      <c r="J2252" s="13">
        <v>6</v>
      </c>
      <c r="K2252" s="14" t="str">
        <f>HYPERLINK("http://www.lavanguardia.es","App publicación twits DGRID")</f>
        <v>App publicación twits DGRID</v>
      </c>
      <c r="L2252" s="13">
        <v>999506</v>
      </c>
      <c r="M2252" s="13">
        <v>524</v>
      </c>
      <c r="N2252" s="13">
        <v>12587</v>
      </c>
      <c r="O2252" s="18" t="s">
        <v>41</v>
      </c>
      <c r="P2252" s="6">
        <v>40071.664548611108</v>
      </c>
      <c r="Q2252" s="16" t="s">
        <v>85</v>
      </c>
      <c r="R2252" s="17" t="s">
        <v>301</v>
      </c>
      <c r="S2252" s="11" t="s">
        <v>304</v>
      </c>
      <c r="T2252" s="12"/>
      <c r="U2252" s="10" t="str">
        <f>HYPERLINK("https://pbs.twimg.com/profile_images/936873783721320448/6Q97S0pp.jpg","View")</f>
        <v>View</v>
      </c>
    </row>
    <row r="2253" spans="1:21" ht="20.399999999999999">
      <c r="A2253" s="6">
        <v>43440.674027777779</v>
      </c>
      <c r="B2253" s="7" t="str">
        <f>HYPERLINK("https://twitter.com/carolmoli32","@carolmoli32")</f>
        <v>@carolmoli32</v>
      </c>
      <c r="C2253" s="8" t="s">
        <v>7483</v>
      </c>
      <c r="D2253" s="9" t="s">
        <v>7484</v>
      </c>
      <c r="E2253" s="10" t="str">
        <f>HYPERLINK("https://twitter.com/carolmoli32/status/1070697019830751233","1070697019830751233")</f>
        <v>1070697019830751233</v>
      </c>
      <c r="F2253" s="11" t="s">
        <v>7485</v>
      </c>
      <c r="G2253" s="11" t="s">
        <v>7486</v>
      </c>
      <c r="H2253" s="12"/>
      <c r="I2253" s="13">
        <v>0</v>
      </c>
      <c r="J2253" s="13">
        <v>0</v>
      </c>
      <c r="K2253" s="14" t="str">
        <f>HYPERLINK("https://dlvrit.com/","dlvr.it")</f>
        <v>dlvr.it</v>
      </c>
      <c r="L2253" s="13">
        <v>339</v>
      </c>
      <c r="M2253" s="13">
        <v>5</v>
      </c>
      <c r="N2253" s="13">
        <v>29</v>
      </c>
      <c r="O2253" s="15"/>
      <c r="P2253" s="6">
        <v>42035.680208333331</v>
      </c>
      <c r="Q2253" s="16" t="s">
        <v>7487</v>
      </c>
      <c r="R2253" s="17" t="s">
        <v>7488</v>
      </c>
      <c r="S2253" s="12"/>
      <c r="T2253" s="12"/>
      <c r="U2253" s="10" t="str">
        <f>HYPERLINK("https://pbs.twimg.com/profile_images/561546807734333440/pvah1-H-.jpeg","View")</f>
        <v>View</v>
      </c>
    </row>
    <row r="2254" spans="1:21" ht="40.799999999999997">
      <c r="A2254" s="6">
        <v>43440.673217592594</v>
      </c>
      <c r="B2254" s="7" t="str">
        <f>HYPERLINK("https://twitter.com/Lou_Gravesen","@Lou_Gravesen")</f>
        <v>@Lou_Gravesen</v>
      </c>
      <c r="C2254" s="8" t="s">
        <v>7489</v>
      </c>
      <c r="D2254" s="9" t="s">
        <v>7490</v>
      </c>
      <c r="E2254" s="10" t="str">
        <f>HYPERLINK("https://twitter.com/Lou_Gravesen/status/1070696726409998338","1070696726409998338")</f>
        <v>1070696726409998338</v>
      </c>
      <c r="F2254" s="16" t="s">
        <v>7491</v>
      </c>
      <c r="G2254" s="12"/>
      <c r="H2254" s="12"/>
      <c r="I2254" s="13">
        <v>0</v>
      </c>
      <c r="J2254" s="13">
        <v>0</v>
      </c>
      <c r="K2254" s="14" t="str">
        <f>HYPERLINK("http://twitter.com","Twitter Web Client")</f>
        <v>Twitter Web Client</v>
      </c>
      <c r="L2254" s="13">
        <v>1920</v>
      </c>
      <c r="M2254" s="13">
        <v>1884</v>
      </c>
      <c r="N2254" s="13">
        <v>70</v>
      </c>
      <c r="O2254" s="15"/>
      <c r="P2254" s="6">
        <v>40364.988900462966</v>
      </c>
      <c r="Q2254" s="16" t="s">
        <v>325</v>
      </c>
      <c r="R2254" s="17" t="s">
        <v>7492</v>
      </c>
      <c r="S2254" s="12"/>
      <c r="T2254" s="12"/>
      <c r="U2254" s="10" t="str">
        <f>HYPERLINK("https://pbs.twimg.com/profile_images/977137468511277056/uDCCGOC8.jpg","View")</f>
        <v>View</v>
      </c>
    </row>
    <row r="2255" spans="1:21" ht="20.399999999999999">
      <c r="A2255" s="6">
        <v>43440.672743055555</v>
      </c>
      <c r="B2255" s="7" t="str">
        <f>HYPERLINK("https://twitter.com/asgorreidaa","@asgorreidaa")</f>
        <v>@asgorreidaa</v>
      </c>
      <c r="C2255" s="8" t="s">
        <v>7493</v>
      </c>
      <c r="D2255" s="9" t="s">
        <v>5023</v>
      </c>
      <c r="E2255" s="10" t="str">
        <f>HYPERLINK("https://twitter.com/asgorreidaa/status/1070696553764012033","1070696553764012033")</f>
        <v>1070696553764012033</v>
      </c>
      <c r="F2255" s="11" t="s">
        <v>6393</v>
      </c>
      <c r="G2255" s="12"/>
      <c r="H2255" s="12"/>
      <c r="I2255" s="13">
        <v>0</v>
      </c>
      <c r="J2255" s="13">
        <v>0</v>
      </c>
      <c r="K2255" s="14" t="str">
        <f>HYPERLINK("http://twitter.com/download/android","Twitter for Android")</f>
        <v>Twitter for Android</v>
      </c>
      <c r="L2255" s="13">
        <v>94</v>
      </c>
      <c r="M2255" s="13">
        <v>1008</v>
      </c>
      <c r="N2255" s="13">
        <v>14</v>
      </c>
      <c r="O2255" s="15"/>
      <c r="P2255" s="6">
        <v>42076.578923611116</v>
      </c>
      <c r="Q2255" s="16" t="s">
        <v>7494</v>
      </c>
      <c r="R2255" s="19"/>
      <c r="S2255" s="12"/>
      <c r="T2255" s="12"/>
      <c r="U2255" s="10" t="str">
        <f>HYPERLINK("https://pbs.twimg.com/profile_images/576491013939666944/XqcNZDhy.jpeg","View")</f>
        <v>View</v>
      </c>
    </row>
    <row r="2256" spans="1:21" ht="51">
      <c r="A2256" s="6">
        <v>43440.672615740739</v>
      </c>
      <c r="B2256" s="7" t="str">
        <f>HYPERLINK("https://twitter.com/colominaM","@colominaM")</f>
        <v>@colominaM</v>
      </c>
      <c r="C2256" s="8" t="s">
        <v>7495</v>
      </c>
      <c r="D2256" s="9" t="s">
        <v>7496</v>
      </c>
      <c r="E2256" s="10" t="str">
        <f>HYPERLINK("https://twitter.com/colominaM/status/1070696506280300546","1070696506280300546")</f>
        <v>1070696506280300546</v>
      </c>
      <c r="F2256" s="11" t="s">
        <v>7497</v>
      </c>
      <c r="G2256" s="12"/>
      <c r="H2256" s="12"/>
      <c r="I2256" s="13">
        <v>21</v>
      </c>
      <c r="J2256" s="13">
        <v>11</v>
      </c>
      <c r="K2256" s="14" t="str">
        <f t="shared" ref="K2256:K2257" si="393">HYPERLINK("http://twitter.com","Twitter Web Client")</f>
        <v>Twitter Web Client</v>
      </c>
      <c r="L2256" s="13">
        <v>749421</v>
      </c>
      <c r="M2256" s="13">
        <v>9776</v>
      </c>
      <c r="N2256" s="13">
        <v>3448</v>
      </c>
      <c r="O2256" s="15"/>
      <c r="P2256" s="6">
        <v>40841.027361111112</v>
      </c>
      <c r="Q2256" s="16" t="s">
        <v>7498</v>
      </c>
      <c r="R2256" s="17" t="s">
        <v>7499</v>
      </c>
      <c r="S2256" s="12"/>
      <c r="T2256" s="12"/>
      <c r="U2256" s="10" t="str">
        <f>HYPERLINK("https://pbs.twimg.com/profile_images/2098246680/mcred.JPG","View")</f>
        <v>View</v>
      </c>
    </row>
    <row r="2257" spans="1:21" ht="30.6">
      <c r="A2257" s="6">
        <v>43440.672361111108</v>
      </c>
      <c r="B2257" s="7" t="str">
        <f>HYPERLINK("https://twitter.com/gattaca3421","@gattaca3421")</f>
        <v>@gattaca3421</v>
      </c>
      <c r="C2257" s="8" t="s">
        <v>4139</v>
      </c>
      <c r="D2257" s="9" t="s">
        <v>6883</v>
      </c>
      <c r="E2257" s="10" t="str">
        <f>HYPERLINK("https://twitter.com/gattaca3421/status/1070696416111140865","1070696416111140865")</f>
        <v>1070696416111140865</v>
      </c>
      <c r="F2257" s="11" t="s">
        <v>2089</v>
      </c>
      <c r="G2257" s="12"/>
      <c r="H2257" s="12"/>
      <c r="I2257" s="13">
        <v>0</v>
      </c>
      <c r="J2257" s="13">
        <v>0</v>
      </c>
      <c r="K2257" s="14" t="str">
        <f t="shared" si="393"/>
        <v>Twitter Web Client</v>
      </c>
      <c r="L2257" s="13">
        <v>3152</v>
      </c>
      <c r="M2257" s="13">
        <v>3348</v>
      </c>
      <c r="N2257" s="13">
        <v>10</v>
      </c>
      <c r="O2257" s="15"/>
      <c r="P2257" s="6">
        <v>42431.452407407407</v>
      </c>
      <c r="Q2257" s="16" t="s">
        <v>26</v>
      </c>
      <c r="R2257" s="17" t="s">
        <v>4141</v>
      </c>
      <c r="S2257" s="12"/>
      <c r="T2257" s="12"/>
      <c r="U2257" s="10" t="str">
        <f>HYPERLINK("https://pbs.twimg.com/profile_images/735132917777719297/Puy3lw5p.jpg","View")</f>
        <v>View</v>
      </c>
    </row>
    <row r="2258" spans="1:21" ht="20.399999999999999">
      <c r="A2258" s="6">
        <v>43440.672002314815</v>
      </c>
      <c r="B2258" s="7" t="str">
        <f>HYPERLINK("https://twitter.com/JCinesa","@JCinesa")</f>
        <v>@JCinesa</v>
      </c>
      <c r="C2258" s="8" t="s">
        <v>7500</v>
      </c>
      <c r="D2258" s="9" t="s">
        <v>7501</v>
      </c>
      <c r="E2258" s="10" t="str">
        <f>HYPERLINK("https://twitter.com/JCinesa/status/1070696286108700677","1070696286108700677")</f>
        <v>1070696286108700677</v>
      </c>
      <c r="F2258" s="12"/>
      <c r="G2258" s="12"/>
      <c r="H2258" s="12"/>
      <c r="I2258" s="13">
        <v>0</v>
      </c>
      <c r="J2258" s="13">
        <v>0</v>
      </c>
      <c r="K2258" s="14" t="str">
        <f>HYPERLINK("http://twitter.com/download/android","Twitter for Android")</f>
        <v>Twitter for Android</v>
      </c>
      <c r="L2258" s="13">
        <v>16</v>
      </c>
      <c r="M2258" s="13">
        <v>92</v>
      </c>
      <c r="N2258" s="13">
        <v>0</v>
      </c>
      <c r="O2258" s="15"/>
      <c r="P2258" s="6">
        <v>43437.568645833337</v>
      </c>
      <c r="Q2258" s="16" t="s">
        <v>4079</v>
      </c>
      <c r="R2258" s="17" t="s">
        <v>7502</v>
      </c>
      <c r="S2258" s="12"/>
      <c r="T2258" s="12"/>
      <c r="U2258" s="10" t="str">
        <f>HYPERLINK("https://pbs.twimg.com/profile_images/1070179775354937344/KdKkK0QV.jpg","View")</f>
        <v>View</v>
      </c>
    </row>
    <row r="2259" spans="1:21" ht="51">
      <c r="A2259" s="6">
        <v>43440.671990740739</v>
      </c>
      <c r="B2259" s="7" t="str">
        <f>HYPERLINK("https://twitter.com/caval100","@caval100")</f>
        <v>@caval100</v>
      </c>
      <c r="C2259" s="8" t="s">
        <v>501</v>
      </c>
      <c r="D2259" s="9" t="s">
        <v>7503</v>
      </c>
      <c r="E2259" s="10" t="str">
        <f>HYPERLINK("https://twitter.com/caval100/status/1070696282057007105","1070696282057007105")</f>
        <v>1070696282057007105</v>
      </c>
      <c r="F2259" s="11" t="s">
        <v>7504</v>
      </c>
      <c r="G2259" s="12"/>
      <c r="H2259" s="12"/>
      <c r="I2259" s="13">
        <v>1</v>
      </c>
      <c r="J2259" s="13">
        <v>1</v>
      </c>
      <c r="K2259" s="14" t="str">
        <f>HYPERLINK("http://twitter.com","Twitter Web Client")</f>
        <v>Twitter Web Client</v>
      </c>
      <c r="L2259" s="13">
        <v>119343</v>
      </c>
      <c r="M2259" s="13">
        <v>94000</v>
      </c>
      <c r="N2259" s="13">
        <v>982</v>
      </c>
      <c r="O2259" s="15"/>
      <c r="P2259" s="6">
        <v>40079.437094907407</v>
      </c>
      <c r="Q2259" s="16" t="s">
        <v>505</v>
      </c>
      <c r="R2259" s="17" t="s">
        <v>506</v>
      </c>
      <c r="S2259" s="11" t="s">
        <v>507</v>
      </c>
      <c r="T2259" s="12"/>
      <c r="U2259" s="10" t="str">
        <f>HYPERLINK("https://pbs.twimg.com/profile_images/965350678301429760/uvGI7g8U.jpg","View")</f>
        <v>View</v>
      </c>
    </row>
    <row r="2260" spans="1:21" ht="40.799999999999997">
      <c r="A2260" s="6">
        <v>43440.671932870369</v>
      </c>
      <c r="B2260" s="7" t="str">
        <f>HYPERLINK("https://twitter.com/MARAROD32143608","@MARAROD32143608")</f>
        <v>@MARAROD32143608</v>
      </c>
      <c r="C2260" s="8" t="s">
        <v>7505</v>
      </c>
      <c r="D2260" s="9" t="s">
        <v>7506</v>
      </c>
      <c r="E2260" s="10" t="str">
        <f>HYPERLINK("https://twitter.com/MARAROD32143608/status/1070696257696473088","1070696257696473088")</f>
        <v>1070696257696473088</v>
      </c>
      <c r="F2260" s="12"/>
      <c r="G2260" s="12"/>
      <c r="H2260" s="12"/>
      <c r="I2260" s="13">
        <v>0</v>
      </c>
      <c r="J2260" s="13">
        <v>0</v>
      </c>
      <c r="K2260" s="14" t="str">
        <f t="shared" ref="K2260:K2262" si="394">HYPERLINK("http://twitter.com/download/android","Twitter for Android")</f>
        <v>Twitter for Android</v>
      </c>
      <c r="L2260" s="13">
        <v>153</v>
      </c>
      <c r="M2260" s="13">
        <v>205</v>
      </c>
      <c r="N2260" s="13">
        <v>0</v>
      </c>
      <c r="O2260" s="15"/>
      <c r="P2260" s="6">
        <v>42549.46670138889</v>
      </c>
      <c r="Q2260" s="12"/>
      <c r="R2260" s="19"/>
      <c r="S2260" s="12"/>
      <c r="T2260" s="12"/>
      <c r="U2260" s="10" t="str">
        <f>HYPERLINK("https://pbs.twimg.com/profile_images/962852970416279552/3Asxr0An.jpg","View")</f>
        <v>View</v>
      </c>
    </row>
    <row r="2261" spans="1:21" ht="51">
      <c r="A2261" s="6">
        <v>43440.6715625</v>
      </c>
      <c r="B2261" s="7" t="str">
        <f>HYPERLINK("https://twitter.com/baralandaluz","@baralandaluz")</f>
        <v>@baralandaluz</v>
      </c>
      <c r="C2261" s="8" t="s">
        <v>7507</v>
      </c>
      <c r="D2261" s="9" t="s">
        <v>7508</v>
      </c>
      <c r="E2261" s="10" t="str">
        <f>HYPERLINK("https://twitter.com/baralandaluz/status/1070696124670009344","1070696124670009344")</f>
        <v>1070696124670009344</v>
      </c>
      <c r="F2261" s="11" t="s">
        <v>7509</v>
      </c>
      <c r="G2261" s="12"/>
      <c r="H2261" s="12"/>
      <c r="I2261" s="13">
        <v>0</v>
      </c>
      <c r="J2261" s="13">
        <v>0</v>
      </c>
      <c r="K2261" s="14" t="str">
        <f t="shared" si="394"/>
        <v>Twitter for Android</v>
      </c>
      <c r="L2261" s="13">
        <v>409</v>
      </c>
      <c r="M2261" s="13">
        <v>410</v>
      </c>
      <c r="N2261" s="13">
        <v>10</v>
      </c>
      <c r="O2261" s="15"/>
      <c r="P2261" s="6">
        <v>41465.727581018517</v>
      </c>
      <c r="Q2261" s="16" t="s">
        <v>7510</v>
      </c>
      <c r="R2261" s="17" t="s">
        <v>7511</v>
      </c>
      <c r="S2261" s="12"/>
      <c r="T2261" s="12"/>
      <c r="U2261" s="10" t="str">
        <f>HYPERLINK("https://pbs.twimg.com/profile_images/1046668131802976256/-U7QfXRv.jpg","View")</f>
        <v>View</v>
      </c>
    </row>
    <row r="2262" spans="1:21" ht="20.399999999999999">
      <c r="A2262" s="6">
        <v>43440.671400462961</v>
      </c>
      <c r="B2262" s="7" t="str">
        <f>HYPERLINK("https://twitter.com/yellowdaee","@yellowdaee")</f>
        <v>@yellowdaee</v>
      </c>
      <c r="C2262" s="8" t="s">
        <v>7512</v>
      </c>
      <c r="D2262" s="9" t="s">
        <v>7513</v>
      </c>
      <c r="E2262" s="10" t="str">
        <f>HYPERLINK("https://twitter.com/yellowdaee/status/1070696068168474624","1070696068168474624")</f>
        <v>1070696068168474624</v>
      </c>
      <c r="F2262" s="12"/>
      <c r="G2262" s="12"/>
      <c r="H2262" s="12"/>
      <c r="I2262" s="13">
        <v>0</v>
      </c>
      <c r="J2262" s="13">
        <v>0</v>
      </c>
      <c r="K2262" s="14" t="str">
        <f t="shared" si="394"/>
        <v>Twitter for Android</v>
      </c>
      <c r="L2262" s="13">
        <v>185</v>
      </c>
      <c r="M2262" s="13">
        <v>307</v>
      </c>
      <c r="N2262" s="13">
        <v>2</v>
      </c>
      <c r="O2262" s="15"/>
      <c r="P2262" s="6">
        <v>42669.641967592594</v>
      </c>
      <c r="Q2262" s="16" t="s">
        <v>7514</v>
      </c>
      <c r="R2262" s="17" t="s">
        <v>7515</v>
      </c>
      <c r="S2262" s="11" t="s">
        <v>7516</v>
      </c>
      <c r="T2262" s="12"/>
      <c r="U2262" s="10" t="str">
        <f>HYPERLINK("https://pbs.twimg.com/profile_images/1071421458176446464/mcPWDpqC.jpg","View")</f>
        <v>View</v>
      </c>
    </row>
    <row r="2263" spans="1:21" ht="30.6">
      <c r="A2263" s="6">
        <v>43440.671215277776</v>
      </c>
      <c r="B2263" s="7" t="str">
        <f>HYPERLINK("https://twitter.com/gattaca3421","@gattaca3421")</f>
        <v>@gattaca3421</v>
      </c>
      <c r="C2263" s="8" t="s">
        <v>4139</v>
      </c>
      <c r="D2263" s="9" t="s">
        <v>6884</v>
      </c>
      <c r="E2263" s="10" t="str">
        <f>HYPERLINK("https://twitter.com/gattaca3421/status/1070695998727565315","1070695998727565315")</f>
        <v>1070695998727565315</v>
      </c>
      <c r="F2263" s="11" t="s">
        <v>2089</v>
      </c>
      <c r="G2263" s="12"/>
      <c r="H2263" s="12"/>
      <c r="I2263" s="13">
        <v>0</v>
      </c>
      <c r="J2263" s="13">
        <v>0</v>
      </c>
      <c r="K2263" s="14" t="str">
        <f>HYPERLINK("http://twitter.com","Twitter Web Client")</f>
        <v>Twitter Web Client</v>
      </c>
      <c r="L2263" s="13">
        <v>3152</v>
      </c>
      <c r="M2263" s="13">
        <v>3348</v>
      </c>
      <c r="N2263" s="13">
        <v>10</v>
      </c>
      <c r="O2263" s="15"/>
      <c r="P2263" s="6">
        <v>42431.452407407407</v>
      </c>
      <c r="Q2263" s="16" t="s">
        <v>26</v>
      </c>
      <c r="R2263" s="17" t="s">
        <v>4141</v>
      </c>
      <c r="S2263" s="12"/>
      <c r="T2263" s="12"/>
      <c r="U2263" s="10" t="str">
        <f>HYPERLINK("https://pbs.twimg.com/profile_images/735132917777719297/Puy3lw5p.jpg","View")</f>
        <v>View</v>
      </c>
    </row>
    <row r="2264" spans="1:21" ht="61.2">
      <c r="A2264" s="6">
        <v>43440.670439814814</v>
      </c>
      <c r="B2264" s="7" t="str">
        <f>HYPERLINK("https://twitter.com/josecdiez","@josecdiez")</f>
        <v>@josecdiez</v>
      </c>
      <c r="C2264" s="8" t="s">
        <v>7517</v>
      </c>
      <c r="D2264" s="9" t="s">
        <v>7518</v>
      </c>
      <c r="E2264" s="10" t="str">
        <f>HYPERLINK("https://twitter.com/josecdiez/status/1070695719965732865","1070695719965732865")</f>
        <v>1070695719965732865</v>
      </c>
      <c r="F2264" s="11" t="s">
        <v>7519</v>
      </c>
      <c r="G2264" s="12"/>
      <c r="H2264" s="12"/>
      <c r="I2264" s="13">
        <v>12</v>
      </c>
      <c r="J2264" s="13">
        <v>21</v>
      </c>
      <c r="K2264" s="14" t="str">
        <f>HYPERLINK("http://twitter.com/download/iphone","Twitter for iPhone")</f>
        <v>Twitter for iPhone</v>
      </c>
      <c r="L2264" s="13">
        <v>92705</v>
      </c>
      <c r="M2264" s="13">
        <v>2648</v>
      </c>
      <c r="N2264" s="13">
        <v>2576</v>
      </c>
      <c r="O2264" s="18" t="s">
        <v>41</v>
      </c>
      <c r="P2264" s="6">
        <v>40234.37704861111</v>
      </c>
      <c r="Q2264" s="16" t="s">
        <v>60</v>
      </c>
      <c r="R2264" s="17" t="s">
        <v>7520</v>
      </c>
      <c r="S2264" s="11" t="s">
        <v>7521</v>
      </c>
      <c r="T2264" s="12"/>
      <c r="U2264" s="10" t="str">
        <f>HYPERLINK("https://pbs.twimg.com/profile_images/1053927680998076416/FXUBb1RG.jpg","View")</f>
        <v>View</v>
      </c>
    </row>
    <row r="2265" spans="1:21" ht="30.6">
      <c r="A2265" s="6">
        <v>43440.670324074075</v>
      </c>
      <c r="B2265" s="7" t="str">
        <f>HYPERLINK("https://twitter.com/bergabil94","@bergabil94")</f>
        <v>@bergabil94</v>
      </c>
      <c r="C2265" s="8" t="s">
        <v>5268</v>
      </c>
      <c r="D2265" s="9" t="s">
        <v>4696</v>
      </c>
      <c r="E2265" s="10" t="str">
        <f>HYPERLINK("https://twitter.com/bergabil94/status/1070695676227538944","1070695676227538944")</f>
        <v>1070695676227538944</v>
      </c>
      <c r="F2265" s="11" t="s">
        <v>7273</v>
      </c>
      <c r="G2265" s="12"/>
      <c r="H2265" s="12"/>
      <c r="I2265" s="13">
        <v>0</v>
      </c>
      <c r="J2265" s="13">
        <v>0</v>
      </c>
      <c r="K2265" s="14" t="str">
        <f>HYPERLINK("https://ifttt.com","IFTTT")</f>
        <v>IFTTT</v>
      </c>
      <c r="L2265" s="13">
        <v>63</v>
      </c>
      <c r="M2265" s="13">
        <v>51</v>
      </c>
      <c r="N2265" s="13">
        <v>3</v>
      </c>
      <c r="O2265" s="15"/>
      <c r="P2265" s="6">
        <v>42758.422662037032</v>
      </c>
      <c r="Q2265" s="16" t="s">
        <v>26</v>
      </c>
      <c r="R2265" s="17" t="s">
        <v>5270</v>
      </c>
      <c r="S2265" s="12"/>
      <c r="T2265" s="12"/>
      <c r="U2265" s="10" t="str">
        <f>HYPERLINK("https://pbs.twimg.com/profile_images/823457736675459073/c35uioBB.jpg","View")</f>
        <v>View</v>
      </c>
    </row>
    <row r="2266" spans="1:21" ht="40.799999999999997">
      <c r="A2266" s="6">
        <v>43440.669942129629</v>
      </c>
      <c r="B2266" s="7" t="str">
        <f>HYPERLINK("https://twitter.com/salvadorpastorb","@salvadorpastorb")</f>
        <v>@salvadorpastorb</v>
      </c>
      <c r="C2266" s="8" t="s">
        <v>5851</v>
      </c>
      <c r="D2266" s="9" t="s">
        <v>7522</v>
      </c>
      <c r="E2266" s="10" t="str">
        <f>HYPERLINK("https://twitter.com/salvadorpastorb/status/1070695538922831872","1070695538922831872")</f>
        <v>1070695538922831872</v>
      </c>
      <c r="F2266" s="11" t="s">
        <v>7523</v>
      </c>
      <c r="G2266" s="12"/>
      <c r="H2266" s="12"/>
      <c r="I2266" s="13">
        <v>0</v>
      </c>
      <c r="J2266" s="13">
        <v>0</v>
      </c>
      <c r="K2266" s="14" t="str">
        <f t="shared" ref="K2266:K2267" si="395">HYPERLINK("http://twitter.com","Twitter Web Client")</f>
        <v>Twitter Web Client</v>
      </c>
      <c r="L2266" s="13">
        <v>1845</v>
      </c>
      <c r="M2266" s="13">
        <v>4998</v>
      </c>
      <c r="N2266" s="13">
        <v>49</v>
      </c>
      <c r="O2266" s="15"/>
      <c r="P2266" s="6">
        <v>40972.034629629634</v>
      </c>
      <c r="Q2266" s="16" t="s">
        <v>60</v>
      </c>
      <c r="R2266" s="17" t="s">
        <v>5852</v>
      </c>
      <c r="S2266" s="11" t="s">
        <v>5853</v>
      </c>
      <c r="T2266" s="12"/>
      <c r="U2266" s="10" t="str">
        <f>HYPERLINK("https://pbs.twimg.com/profile_images/1872162133/Imagen__4_.jpg","View")</f>
        <v>View</v>
      </c>
    </row>
    <row r="2267" spans="1:21" ht="30.6">
      <c r="A2267" s="6">
        <v>43440.669537037036</v>
      </c>
      <c r="B2267" s="7" t="str">
        <f>HYPERLINK("https://twitter.com/Dama_Cristal","@Dama_Cristal")</f>
        <v>@Dama_Cristal</v>
      </c>
      <c r="C2267" s="8" t="s">
        <v>537</v>
      </c>
      <c r="D2267" s="9" t="s">
        <v>5586</v>
      </c>
      <c r="E2267" s="10" t="str">
        <f>HYPERLINK("https://twitter.com/Dama_Cristal/status/1070695390746435584","1070695390746435584")</f>
        <v>1070695390746435584</v>
      </c>
      <c r="F2267" s="11" t="s">
        <v>4815</v>
      </c>
      <c r="G2267" s="12"/>
      <c r="H2267" s="12"/>
      <c r="I2267" s="13">
        <v>0</v>
      </c>
      <c r="J2267" s="13">
        <v>0</v>
      </c>
      <c r="K2267" s="14" t="str">
        <f t="shared" si="395"/>
        <v>Twitter Web Client</v>
      </c>
      <c r="L2267" s="13">
        <v>3982</v>
      </c>
      <c r="M2267" s="13">
        <v>1146</v>
      </c>
      <c r="N2267" s="13">
        <v>115</v>
      </c>
      <c r="O2267" s="15"/>
      <c r="P2267" s="6">
        <v>40055.963437500002</v>
      </c>
      <c r="Q2267" s="16" t="s">
        <v>539</v>
      </c>
      <c r="R2267" s="17" t="s">
        <v>540</v>
      </c>
      <c r="S2267" s="11" t="s">
        <v>541</v>
      </c>
      <c r="T2267" s="12"/>
      <c r="U2267" s="10" t="str">
        <f>HYPERLINK("https://pbs.twimg.com/profile_images/1063871379488063489/2qf35eY7.jpg","View")</f>
        <v>View</v>
      </c>
    </row>
    <row r="2268" spans="1:21" ht="20.399999999999999">
      <c r="A2268" s="6">
        <v>43440.669027777782</v>
      </c>
      <c r="B2268" s="7" t="str">
        <f>HYPERLINK("https://twitter.com/mariona1950","@mariona1950")</f>
        <v>@mariona1950</v>
      </c>
      <c r="C2268" s="8" t="s">
        <v>7524</v>
      </c>
      <c r="D2268" s="9" t="s">
        <v>7525</v>
      </c>
      <c r="E2268" s="10" t="str">
        <f>HYPERLINK("https://twitter.com/mariona1950/status/1070695205328863233","1070695205328863233")</f>
        <v>1070695205328863233</v>
      </c>
      <c r="F2268" s="11" t="s">
        <v>7526</v>
      </c>
      <c r="G2268" s="12"/>
      <c r="H2268" s="12"/>
      <c r="I2268" s="13">
        <v>0</v>
      </c>
      <c r="J2268" s="13">
        <v>0</v>
      </c>
      <c r="K2268" s="14" t="str">
        <f>HYPERLINK("http://www.facebook.com/twitter","Facebook")</f>
        <v>Facebook</v>
      </c>
      <c r="L2268" s="13">
        <v>77</v>
      </c>
      <c r="M2268" s="13">
        <v>124</v>
      </c>
      <c r="N2268" s="13">
        <v>1</v>
      </c>
      <c r="O2268" s="15"/>
      <c r="P2268" s="6">
        <v>41271.475960648146</v>
      </c>
      <c r="Q2268" s="16" t="s">
        <v>7527</v>
      </c>
      <c r="R2268" s="17" t="s">
        <v>7528</v>
      </c>
      <c r="S2268" s="12"/>
      <c r="T2268" s="12"/>
      <c r="U2268" s="10" t="str">
        <f>HYPERLINK("https://pbs.twimg.com/profile_images/488637876096094209/BAjKCtLO.jpeg","View")</f>
        <v>View</v>
      </c>
    </row>
    <row r="2269" spans="1:21" ht="20.399999999999999">
      <c r="A2269" s="6">
        <v>43440.669016203705</v>
      </c>
      <c r="B2269" s="7" t="str">
        <f>HYPERLINK("https://twitter.com/vaviol","@vaviol")</f>
        <v>@vaviol</v>
      </c>
      <c r="C2269" s="8" t="s">
        <v>7529</v>
      </c>
      <c r="D2269" s="9" t="s">
        <v>7480</v>
      </c>
      <c r="E2269" s="10" t="str">
        <f>HYPERLINK("https://twitter.com/vaviol/status/1070695202808041473","1070695202808041473")</f>
        <v>1070695202808041473</v>
      </c>
      <c r="F2269" s="11" t="s">
        <v>7276</v>
      </c>
      <c r="G2269" s="12"/>
      <c r="H2269" s="12"/>
      <c r="I2269" s="13">
        <v>1</v>
      </c>
      <c r="J2269" s="13">
        <v>0</v>
      </c>
      <c r="K2269" s="14" t="str">
        <f>HYPERLINK("http://twitter.com","Twitter Web Client")</f>
        <v>Twitter Web Client</v>
      </c>
      <c r="L2269" s="13">
        <v>1915</v>
      </c>
      <c r="M2269" s="13">
        <v>1965</v>
      </c>
      <c r="N2269" s="13">
        <v>68</v>
      </c>
      <c r="O2269" s="15"/>
      <c r="P2269" s="6">
        <v>40818.71234953704</v>
      </c>
      <c r="Q2269" s="16" t="s">
        <v>7530</v>
      </c>
      <c r="R2269" s="17" t="s">
        <v>7531</v>
      </c>
      <c r="S2269" s="12"/>
      <c r="T2269" s="12"/>
      <c r="U2269" s="10" t="str">
        <f>HYPERLINK("https://pbs.twimg.com/profile_images/598498553070276608/whLWQ3SW.jpg","View")</f>
        <v>View</v>
      </c>
    </row>
    <row r="2270" spans="1:21" ht="40.799999999999997">
      <c r="A2270" s="6">
        <v>43440.668773148151</v>
      </c>
      <c r="B2270" s="7" t="str">
        <f>HYPERLINK("https://twitter.com/TRAGATEL0","@TRAGATEL0")</f>
        <v>@TRAGATEL0</v>
      </c>
      <c r="C2270" s="8" t="s">
        <v>7532</v>
      </c>
      <c r="D2270" s="9" t="s">
        <v>7533</v>
      </c>
      <c r="E2270" s="10" t="str">
        <f>HYPERLINK("https://twitter.com/TRAGATEL0/status/1070695116556431360","1070695116556431360")</f>
        <v>1070695116556431360</v>
      </c>
      <c r="F2270" s="11" t="s">
        <v>7534</v>
      </c>
      <c r="G2270" s="12"/>
      <c r="H2270" s="12"/>
      <c r="I2270" s="13">
        <v>1</v>
      </c>
      <c r="J2270" s="13">
        <v>1</v>
      </c>
      <c r="K2270" s="14" t="str">
        <f>HYPERLINK("https://www.google.com/","Google")</f>
        <v>Google</v>
      </c>
      <c r="L2270" s="13">
        <v>2868</v>
      </c>
      <c r="M2270" s="13">
        <v>3352</v>
      </c>
      <c r="N2270" s="13">
        <v>50</v>
      </c>
      <c r="O2270" s="15"/>
      <c r="P2270" s="6">
        <v>42600.667349537034</v>
      </c>
      <c r="Q2270" s="12"/>
      <c r="R2270" s="17" t="s">
        <v>7535</v>
      </c>
      <c r="S2270" s="11" t="s">
        <v>7536</v>
      </c>
      <c r="T2270" s="12"/>
      <c r="U2270" s="10" t="str">
        <f>HYPERLINK("https://pbs.twimg.com/profile_images/991752424602980352/Tbez7IZi.jpg","View")</f>
        <v>View</v>
      </c>
    </row>
    <row r="2271" spans="1:21" ht="30.6">
      <c r="A2271" s="6">
        <v>43440.66741898148</v>
      </c>
      <c r="B2271" s="7" t="str">
        <f>HYPERLINK("https://twitter.com/UrretaJorge","@UrretaJorge")</f>
        <v>@UrretaJorge</v>
      </c>
      <c r="C2271" s="8" t="s">
        <v>5554</v>
      </c>
      <c r="D2271" s="9" t="s">
        <v>5426</v>
      </c>
      <c r="E2271" s="10" t="str">
        <f>HYPERLINK("https://twitter.com/UrretaJorge/status/1070694625587879937","1070694625587879937")</f>
        <v>1070694625587879937</v>
      </c>
      <c r="F2271" s="11" t="s">
        <v>7537</v>
      </c>
      <c r="G2271" s="11" t="s">
        <v>7538</v>
      </c>
      <c r="H2271" s="12"/>
      <c r="I2271" s="13">
        <v>0</v>
      </c>
      <c r="J2271" s="13">
        <v>0</v>
      </c>
      <c r="K2271" s="14" t="str">
        <f>HYPERLINK("https://dlvrit.com/","dlvr.it")</f>
        <v>dlvr.it</v>
      </c>
      <c r="L2271" s="13">
        <v>6180</v>
      </c>
      <c r="M2271" s="13">
        <v>6333</v>
      </c>
      <c r="N2271" s="13">
        <v>116</v>
      </c>
      <c r="O2271" s="15"/>
      <c r="P2271" s="6">
        <v>41216.774305555555</v>
      </c>
      <c r="Q2271" s="16" t="s">
        <v>5557</v>
      </c>
      <c r="R2271" s="17" t="s">
        <v>5558</v>
      </c>
      <c r="S2271" s="11" t="s">
        <v>5559</v>
      </c>
      <c r="T2271" s="12"/>
      <c r="U2271" s="10" t="str">
        <f>HYPERLINK("https://pbs.twimg.com/profile_images/636651341385965569/1AdINThO.jpg","View")</f>
        <v>View</v>
      </c>
    </row>
    <row r="2272" spans="1:21" ht="40.799999999999997">
      <c r="A2272" s="6">
        <v>43440.667141203703</v>
      </c>
      <c r="B2272" s="7" t="str">
        <f>HYPERLINK("https://twitter.com/PodemosLeon","@PodemosLeon")</f>
        <v>@PodemosLeon</v>
      </c>
      <c r="C2272" s="8" t="s">
        <v>7539</v>
      </c>
      <c r="D2272" s="9" t="s">
        <v>7540</v>
      </c>
      <c r="E2272" s="10" t="str">
        <f>HYPERLINK("https://twitter.com/PodemosLeon/status/1070694522223513600","1070694522223513600")</f>
        <v>1070694522223513600</v>
      </c>
      <c r="F2272" s="11" t="s">
        <v>7541</v>
      </c>
      <c r="G2272" s="12"/>
      <c r="H2272" s="12"/>
      <c r="I2272" s="13">
        <v>5</v>
      </c>
      <c r="J2272" s="13">
        <v>1</v>
      </c>
      <c r="K2272" s="14" t="str">
        <f>HYPERLINK("http://www.facebook.com/twitter","Facebook")</f>
        <v>Facebook</v>
      </c>
      <c r="L2272" s="13">
        <v>5050</v>
      </c>
      <c r="M2272" s="13">
        <v>349</v>
      </c>
      <c r="N2272" s="13">
        <v>70</v>
      </c>
      <c r="O2272" s="15"/>
      <c r="P2272" s="6">
        <v>41679.483900462961</v>
      </c>
      <c r="Q2272" s="16" t="s">
        <v>7116</v>
      </c>
      <c r="R2272" s="17" t="s">
        <v>7542</v>
      </c>
      <c r="S2272" s="11" t="s">
        <v>7543</v>
      </c>
      <c r="T2272" s="12"/>
      <c r="U2272" s="10" t="str">
        <f>HYPERLINK("https://pbs.twimg.com/profile_images/1043776430922973184/HV1MJ9Fb.jpg","View")</f>
        <v>View</v>
      </c>
    </row>
    <row r="2273" spans="1:21" ht="51">
      <c r="A2273" s="6">
        <v>43440.667071759264</v>
      </c>
      <c r="B2273" s="7" t="str">
        <f>HYPERLINK("https://twitter.com/luchotebar","@luchotebar")</f>
        <v>@luchotebar</v>
      </c>
      <c r="C2273" s="8" t="s">
        <v>4452</v>
      </c>
      <c r="D2273" s="9" t="s">
        <v>7544</v>
      </c>
      <c r="E2273" s="10" t="str">
        <f>HYPERLINK("https://twitter.com/luchotebar/status/1070694498391478273","1070694498391478273")</f>
        <v>1070694498391478273</v>
      </c>
      <c r="F2273" s="11" t="s">
        <v>7545</v>
      </c>
      <c r="G2273" s="12"/>
      <c r="H2273" s="12"/>
      <c r="I2273" s="13">
        <v>0</v>
      </c>
      <c r="J2273" s="13">
        <v>0</v>
      </c>
      <c r="K2273" s="14" t="str">
        <f>HYPERLINK("http://twitter.com","Twitter Web Client")</f>
        <v>Twitter Web Client</v>
      </c>
      <c r="L2273" s="13">
        <v>3416</v>
      </c>
      <c r="M2273" s="13">
        <v>3942</v>
      </c>
      <c r="N2273" s="13">
        <v>9</v>
      </c>
      <c r="O2273" s="15"/>
      <c r="P2273" s="6">
        <v>42373.676666666666</v>
      </c>
      <c r="Q2273" s="12"/>
      <c r="R2273" s="19"/>
      <c r="S2273" s="12"/>
      <c r="T2273" s="12"/>
      <c r="U2273" s="10" t="str">
        <f>HYPERLINK("https://pbs.twimg.com/profile_images/926401494684962817/VgiHhfhz.jpg","View")</f>
        <v>View</v>
      </c>
    </row>
    <row r="2274" spans="1:21" ht="20.399999999999999">
      <c r="A2274" s="6">
        <v>43440.667002314818</v>
      </c>
      <c r="B2274" s="7" t="str">
        <f>HYPERLINK("https://twitter.com/jagoaza","@jagoaza")</f>
        <v>@jagoaza</v>
      </c>
      <c r="C2274" s="8" t="s">
        <v>7546</v>
      </c>
      <c r="D2274" s="9" t="s">
        <v>7547</v>
      </c>
      <c r="E2274" s="10" t="str">
        <f>HYPERLINK("https://twitter.com/jagoaza/status/1070694471996715008","1070694471996715008")</f>
        <v>1070694471996715008</v>
      </c>
      <c r="F2274" s="11" t="s">
        <v>7548</v>
      </c>
      <c r="G2274" s="12"/>
      <c r="H2274" s="12"/>
      <c r="I2274" s="13">
        <v>0</v>
      </c>
      <c r="J2274" s="13">
        <v>0</v>
      </c>
      <c r="K2274" s="14" t="str">
        <f>HYPERLINK("http://twitter.com/download/android","Twitter for Android")</f>
        <v>Twitter for Android</v>
      </c>
      <c r="L2274" s="13">
        <v>310</v>
      </c>
      <c r="M2274" s="13">
        <v>162</v>
      </c>
      <c r="N2274" s="13">
        <v>13</v>
      </c>
      <c r="O2274" s="15"/>
      <c r="P2274" s="6">
        <v>41957.708379629628</v>
      </c>
      <c r="Q2274" s="12"/>
      <c r="R2274" s="19"/>
      <c r="S2274" s="12"/>
      <c r="T2274" s="12"/>
      <c r="U2274" s="10" t="str">
        <f>HYPERLINK("https://pbs.twimg.com/profile_images/594278346135076864/VONzKR0l.jpg","View")</f>
        <v>View</v>
      </c>
    </row>
    <row r="2275" spans="1:21" ht="20.399999999999999">
      <c r="A2275" s="6">
        <v>43440.666678240741</v>
      </c>
      <c r="B2275" s="7" t="str">
        <f>HYPERLINK("https://twitter.com/ideal_almeria","@ideal_almeria")</f>
        <v>@ideal_almeria</v>
      </c>
      <c r="C2275" s="8" t="s">
        <v>7549</v>
      </c>
      <c r="D2275" s="9" t="s">
        <v>7342</v>
      </c>
      <c r="E2275" s="10" t="str">
        <f>HYPERLINK("https://twitter.com/ideal_almeria/status/1070694356879724544","1070694356879724544")</f>
        <v>1070694356879724544</v>
      </c>
      <c r="F2275" s="11" t="s">
        <v>7550</v>
      </c>
      <c r="G2275" s="12"/>
      <c r="H2275" s="12"/>
      <c r="I2275" s="13">
        <v>0</v>
      </c>
      <c r="J2275" s="13">
        <v>2</v>
      </c>
      <c r="K2275" s="14" t="str">
        <f t="shared" ref="K2275:K2277" si="396">HYPERLINK("https://about.twitter.com/products/tweetdeck","TweetDeck")</f>
        <v>TweetDeck</v>
      </c>
      <c r="L2275" s="13">
        <v>16811</v>
      </c>
      <c r="M2275" s="13">
        <v>419</v>
      </c>
      <c r="N2275" s="13">
        <v>349</v>
      </c>
      <c r="O2275" s="18" t="s">
        <v>41</v>
      </c>
      <c r="P2275" s="6">
        <v>40443.466446759259</v>
      </c>
      <c r="Q2275" s="16" t="s">
        <v>4565</v>
      </c>
      <c r="R2275" s="17" t="s">
        <v>7551</v>
      </c>
      <c r="S2275" s="11" t="s">
        <v>7552</v>
      </c>
      <c r="T2275" s="12"/>
      <c r="U2275" s="10" t="str">
        <f>HYPERLINK("https://pbs.twimg.com/profile_images/875627295809064963/M1sTpdXi.jpg","View")</f>
        <v>View</v>
      </c>
    </row>
    <row r="2276" spans="1:21" ht="20.399999999999999">
      <c r="A2276" s="6">
        <v>43440.666666666672</v>
      </c>
      <c r="B2276" s="7" t="str">
        <f>HYPERLINK("https://twitter.com/ideal_jaen","@ideal_jaen")</f>
        <v>@ideal_jaen</v>
      </c>
      <c r="C2276" s="8" t="s">
        <v>7553</v>
      </c>
      <c r="D2276" s="9" t="s">
        <v>7342</v>
      </c>
      <c r="E2276" s="10" t="str">
        <f>HYPERLINK("https://twitter.com/ideal_jaen/status/1070694352416993280","1070694352416993280")</f>
        <v>1070694352416993280</v>
      </c>
      <c r="F2276" s="11" t="s">
        <v>7550</v>
      </c>
      <c r="G2276" s="12"/>
      <c r="H2276" s="12"/>
      <c r="I2276" s="13">
        <v>0</v>
      </c>
      <c r="J2276" s="13">
        <v>1</v>
      </c>
      <c r="K2276" s="14" t="str">
        <f t="shared" si="396"/>
        <v>TweetDeck</v>
      </c>
      <c r="L2276" s="13">
        <v>20035</v>
      </c>
      <c r="M2276" s="13">
        <v>400</v>
      </c>
      <c r="N2276" s="13">
        <v>349</v>
      </c>
      <c r="O2276" s="18" t="s">
        <v>41</v>
      </c>
      <c r="P2276" s="6">
        <v>40443.463738425926</v>
      </c>
      <c r="Q2276" s="16" t="s">
        <v>177</v>
      </c>
      <c r="R2276" s="17" t="s">
        <v>7554</v>
      </c>
      <c r="S2276" s="11" t="s">
        <v>7555</v>
      </c>
      <c r="T2276" s="12"/>
      <c r="U2276" s="10" t="str">
        <f>HYPERLINK("https://pbs.twimg.com/profile_images/875627115365806080/1i1e8Euc.jpg","View")</f>
        <v>View</v>
      </c>
    </row>
    <row r="2277" spans="1:21" ht="20.399999999999999">
      <c r="A2277" s="6">
        <v>43440.666666666672</v>
      </c>
      <c r="B2277" s="7" t="str">
        <f>HYPERLINK("https://twitter.com/ideal_granada","@ideal_granada")</f>
        <v>@ideal_granada</v>
      </c>
      <c r="C2277" s="8" t="s">
        <v>7556</v>
      </c>
      <c r="D2277" s="9" t="s">
        <v>7342</v>
      </c>
      <c r="E2277" s="10" t="str">
        <f>HYPERLINK("https://twitter.com/ideal_granada/status/1070694351246905355","1070694351246905355")</f>
        <v>1070694351246905355</v>
      </c>
      <c r="F2277" s="11" t="s">
        <v>7550</v>
      </c>
      <c r="G2277" s="12"/>
      <c r="H2277" s="12"/>
      <c r="I2277" s="13">
        <v>0</v>
      </c>
      <c r="J2277" s="13">
        <v>1</v>
      </c>
      <c r="K2277" s="14" t="str">
        <f t="shared" si="396"/>
        <v>TweetDeck</v>
      </c>
      <c r="L2277" s="13">
        <v>117856</v>
      </c>
      <c r="M2277" s="13">
        <v>868</v>
      </c>
      <c r="N2277" s="13">
        <v>1180</v>
      </c>
      <c r="O2277" s="18" t="s">
        <v>41</v>
      </c>
      <c r="P2277" s="6">
        <v>40185.627060185187</v>
      </c>
      <c r="Q2277" s="16" t="s">
        <v>143</v>
      </c>
      <c r="R2277" s="17" t="s">
        <v>7557</v>
      </c>
      <c r="S2277" s="11" t="s">
        <v>7558</v>
      </c>
      <c r="T2277" s="12"/>
      <c r="U2277" s="10" t="str">
        <f>HYPERLINK("https://pbs.twimg.com/profile_images/875626504134119424/cd2WXtNq.jpg","View")</f>
        <v>View</v>
      </c>
    </row>
    <row r="2278" spans="1:21" ht="30.6">
      <c r="A2278" s="6">
        <v>43440.666608796295</v>
      </c>
      <c r="B2278" s="7" t="str">
        <f>HYPERLINK("https://twitter.com/_RDSFM","@_RDSFM")</f>
        <v>@_RDSFM</v>
      </c>
      <c r="C2278" s="8" t="s">
        <v>7559</v>
      </c>
      <c r="D2278" s="9" t="s">
        <v>7560</v>
      </c>
      <c r="E2278" s="10" t="str">
        <f>HYPERLINK("https://twitter.com/_RDSFM/status/1070694329281318915","1070694329281318915")</f>
        <v>1070694329281318915</v>
      </c>
      <c r="F2278" s="12"/>
      <c r="G2278" s="11" t="s">
        <v>7561</v>
      </c>
      <c r="H2278" s="12"/>
      <c r="I2278" s="13">
        <v>0</v>
      </c>
      <c r="J2278" s="13">
        <v>0</v>
      </c>
      <c r="K2278" s="14" t="str">
        <f>HYPERLINK("http://twitter.com","Twitter Web Client")</f>
        <v>Twitter Web Client</v>
      </c>
      <c r="L2278" s="13">
        <v>517</v>
      </c>
      <c r="M2278" s="13">
        <v>319</v>
      </c>
      <c r="N2278" s="13">
        <v>8</v>
      </c>
      <c r="O2278" s="15"/>
      <c r="P2278" s="6">
        <v>40418.945173611108</v>
      </c>
      <c r="Q2278" s="16" t="s">
        <v>7562</v>
      </c>
      <c r="R2278" s="17" t="s">
        <v>7563</v>
      </c>
      <c r="S2278" s="11" t="s">
        <v>7564</v>
      </c>
      <c r="T2278" s="12"/>
      <c r="U2278" s="10" t="str">
        <f>HYPERLINK("https://pbs.twimg.com/profile_images/1022852141248143362/7kikiV7Y.jpg","View")</f>
        <v>View</v>
      </c>
    </row>
    <row r="2279" spans="1:21" ht="51">
      <c r="A2279" s="6">
        <v>43440.666481481487</v>
      </c>
      <c r="B2279" s="7" t="str">
        <f>HYPERLINK("https://twitter.com/MadridCF_News","@MadridCF_News")</f>
        <v>@MadridCF_News</v>
      </c>
      <c r="C2279" s="8" t="s">
        <v>7565</v>
      </c>
      <c r="D2279" s="9" t="s">
        <v>7566</v>
      </c>
      <c r="E2279" s="10" t="str">
        <f>HYPERLINK("https://twitter.com/MadridCF_News/status/1070694284599398405","1070694284599398405")</f>
        <v>1070694284599398405</v>
      </c>
      <c r="F2279" s="12"/>
      <c r="G2279" s="12"/>
      <c r="H2279" s="12"/>
      <c r="I2279" s="13">
        <v>0</v>
      </c>
      <c r="J2279" s="13">
        <v>0</v>
      </c>
      <c r="K2279" s="14" t="str">
        <f>HYPERLINK("http://twitter.com/download/iphone","Twitter for iPhone")</f>
        <v>Twitter for iPhone</v>
      </c>
      <c r="L2279" s="13">
        <v>1449</v>
      </c>
      <c r="M2279" s="13">
        <v>332</v>
      </c>
      <c r="N2279" s="13">
        <v>9</v>
      </c>
      <c r="O2279" s="15"/>
      <c r="P2279" s="6">
        <v>40819.884421296294</v>
      </c>
      <c r="Q2279" s="16" t="s">
        <v>871</v>
      </c>
      <c r="R2279" s="17" t="s">
        <v>7567</v>
      </c>
      <c r="S2279" s="12"/>
      <c r="T2279" s="12"/>
      <c r="U2279" s="10" t="str">
        <f>HYPERLINK("https://pbs.twimg.com/profile_images/919319452554055687/Whj1qyOc.jpg","View")</f>
        <v>View</v>
      </c>
    </row>
    <row r="2280" spans="1:21" ht="112.2">
      <c r="A2280" s="6">
        <v>43440.666145833333</v>
      </c>
      <c r="B2280" s="7" t="str">
        <f>HYPERLINK("https://twitter.com/maneluisazu","@maneluisazu")</f>
        <v>@maneluisazu</v>
      </c>
      <c r="C2280" s="8" t="s">
        <v>7568</v>
      </c>
      <c r="D2280" s="9" t="s">
        <v>7569</v>
      </c>
      <c r="E2280" s="10" t="str">
        <f>HYPERLINK("https://twitter.com/maneluisazu/status/1070694163514122242","1070694163514122242")</f>
        <v>1070694163514122242</v>
      </c>
      <c r="F2280" s="16" t="s">
        <v>7570</v>
      </c>
      <c r="G2280" s="12"/>
      <c r="H2280" s="12"/>
      <c r="I2280" s="13">
        <v>0</v>
      </c>
      <c r="J2280" s="13">
        <v>0</v>
      </c>
      <c r="K2280" s="14" t="str">
        <f t="shared" ref="K2280:K2282" si="397">HYPERLINK("http://twitter.com/download/android","Twitter for Android")</f>
        <v>Twitter for Android</v>
      </c>
      <c r="L2280" s="13">
        <v>740</v>
      </c>
      <c r="M2280" s="13">
        <v>1027</v>
      </c>
      <c r="N2280" s="13">
        <v>9</v>
      </c>
      <c r="O2280" s="15"/>
      <c r="P2280" s="6">
        <v>40393.601909722223</v>
      </c>
      <c r="Q2280" s="16" t="s">
        <v>1195</v>
      </c>
      <c r="R2280" s="17" t="s">
        <v>7571</v>
      </c>
      <c r="S2280" s="12"/>
      <c r="T2280" s="12"/>
      <c r="U2280" s="10" t="str">
        <f>HYPERLINK("https://pbs.twimg.com/profile_images/973219437741527042/MJ0mXaRM.jpg","View")</f>
        <v>View</v>
      </c>
    </row>
    <row r="2281" spans="1:21" ht="30.6">
      <c r="A2281" s="6">
        <v>43440.66574074074</v>
      </c>
      <c r="B2281" s="7" t="str">
        <f>HYPERLINK("https://twitter.com/EstrellaMonge1","@EstrellaMonge1")</f>
        <v>@EstrellaMonge1</v>
      </c>
      <c r="C2281" s="8" t="s">
        <v>1381</v>
      </c>
      <c r="D2281" s="9" t="s">
        <v>7572</v>
      </c>
      <c r="E2281" s="10" t="str">
        <f>HYPERLINK("https://twitter.com/EstrellaMonge1/status/1070694015924883457","1070694015924883457")</f>
        <v>1070694015924883457</v>
      </c>
      <c r="F2281" s="11" t="s">
        <v>7573</v>
      </c>
      <c r="G2281" s="12"/>
      <c r="H2281" s="12"/>
      <c r="I2281" s="13">
        <v>0</v>
      </c>
      <c r="J2281" s="13">
        <v>0</v>
      </c>
      <c r="K2281" s="14" t="str">
        <f t="shared" si="397"/>
        <v>Twitter for Android</v>
      </c>
      <c r="L2281" s="13">
        <v>1904</v>
      </c>
      <c r="M2281" s="13">
        <v>4998</v>
      </c>
      <c r="N2281" s="13">
        <v>111</v>
      </c>
      <c r="O2281" s="15"/>
      <c r="P2281" s="6">
        <v>40911.708993055552</v>
      </c>
      <c r="Q2281" s="16" t="s">
        <v>60</v>
      </c>
      <c r="R2281" s="17" t="s">
        <v>1384</v>
      </c>
      <c r="S2281" s="12"/>
      <c r="T2281" s="12"/>
      <c r="U2281" s="10" t="str">
        <f>HYPERLINK("https://pbs.twimg.com/profile_images/1062093513159049216/mAkXXRvX.jpg","View")</f>
        <v>View</v>
      </c>
    </row>
    <row r="2282" spans="1:21" ht="20.399999999999999">
      <c r="A2282" s="6">
        <v>43440.665173611109</v>
      </c>
      <c r="B2282" s="7" t="str">
        <f>HYPERLINK("https://twitter.com/PThornasol","@PThornasol")</f>
        <v>@PThornasol</v>
      </c>
      <c r="C2282" s="8" t="s">
        <v>7574</v>
      </c>
      <c r="D2282" s="9" t="s">
        <v>7575</v>
      </c>
      <c r="E2282" s="10" t="str">
        <f>HYPERLINK("https://twitter.com/PThornasol/status/1070693810336866304","1070693810336866304")</f>
        <v>1070693810336866304</v>
      </c>
      <c r="F2282" s="12"/>
      <c r="G2282" s="12"/>
      <c r="H2282" s="12"/>
      <c r="I2282" s="13">
        <v>0</v>
      </c>
      <c r="J2282" s="13">
        <v>0</v>
      </c>
      <c r="K2282" s="14" t="str">
        <f t="shared" si="397"/>
        <v>Twitter for Android</v>
      </c>
      <c r="L2282" s="13">
        <v>4</v>
      </c>
      <c r="M2282" s="13">
        <v>52</v>
      </c>
      <c r="N2282" s="13">
        <v>0</v>
      </c>
      <c r="O2282" s="15"/>
      <c r="P2282" s="6">
        <v>42109.014131944445</v>
      </c>
      <c r="Q2282" s="12"/>
      <c r="R2282" s="17" t="s">
        <v>7576</v>
      </c>
      <c r="S2282" s="12"/>
      <c r="T2282" s="12"/>
      <c r="U2282" s="10" t="str">
        <f>HYPERLINK("https://pbs.twimg.com/profile_images/620710872047046661/qWYbx4A5.jpg","View")</f>
        <v>View</v>
      </c>
    </row>
    <row r="2283" spans="1:21" ht="20.399999999999999">
      <c r="A2283" s="6">
        <v>43440.664282407408</v>
      </c>
      <c r="B2283" s="7" t="str">
        <f>HYPERLINK("https://twitter.com/TurboNoticias","@TurboNoticias")</f>
        <v>@TurboNoticias</v>
      </c>
      <c r="C2283" s="8" t="s">
        <v>5546</v>
      </c>
      <c r="D2283" s="9" t="s">
        <v>4696</v>
      </c>
      <c r="E2283" s="10" t="str">
        <f>HYPERLINK("https://twitter.com/TurboNoticias/status/1070693486326939649","1070693486326939649")</f>
        <v>1070693486326939649</v>
      </c>
      <c r="F2283" s="11" t="s">
        <v>7577</v>
      </c>
      <c r="G2283" s="12"/>
      <c r="H2283" s="12"/>
      <c r="I2283" s="13">
        <v>0</v>
      </c>
      <c r="J2283" s="13">
        <v>0</v>
      </c>
      <c r="K2283" s="14" t="str">
        <f>HYPERLINK("https://ifttt.com","IFTTT")</f>
        <v>IFTTT</v>
      </c>
      <c r="L2283" s="13">
        <v>965</v>
      </c>
      <c r="M2283" s="13">
        <v>853</v>
      </c>
      <c r="N2283" s="13">
        <v>72</v>
      </c>
      <c r="O2283" s="15"/>
      <c r="P2283" s="6">
        <v>41374.90861111111</v>
      </c>
      <c r="Q2283" s="12"/>
      <c r="R2283" s="17" t="s">
        <v>5547</v>
      </c>
      <c r="S2283" s="12"/>
      <c r="T2283" s="12"/>
      <c r="U2283" s="10" t="str">
        <f>HYPERLINK("https://pbs.twimg.com/profile_images/3503488030/f3fa72449e81ed8eb09fe5df9d6c5afe.jpeg","View")</f>
        <v>View</v>
      </c>
    </row>
    <row r="2284" spans="1:21" ht="20.399999999999999">
      <c r="A2284" s="6">
        <v>43440.663356481484</v>
      </c>
      <c r="B2284" s="7" t="str">
        <f>HYPERLINK("https://twitter.com/LINCE74545899","@LINCE74545899")</f>
        <v>@LINCE74545899</v>
      </c>
      <c r="C2284" s="8" t="s">
        <v>6257</v>
      </c>
      <c r="D2284" s="9" t="s">
        <v>5586</v>
      </c>
      <c r="E2284" s="10" t="str">
        <f>HYPERLINK("https://twitter.com/LINCE74545899/status/1070693152338706432","1070693152338706432")</f>
        <v>1070693152338706432</v>
      </c>
      <c r="F2284" s="11" t="s">
        <v>4815</v>
      </c>
      <c r="G2284" s="12"/>
      <c r="H2284" s="12"/>
      <c r="I2284" s="13">
        <v>0</v>
      </c>
      <c r="J2284" s="13">
        <v>0</v>
      </c>
      <c r="K2284" s="14" t="str">
        <f>HYPERLINK("http://twitter.com","Twitter Web Client")</f>
        <v>Twitter Web Client</v>
      </c>
      <c r="L2284" s="13">
        <v>73</v>
      </c>
      <c r="M2284" s="13">
        <v>128</v>
      </c>
      <c r="N2284" s="13">
        <v>0</v>
      </c>
      <c r="O2284" s="15"/>
      <c r="P2284" s="6">
        <v>43361.568344907406</v>
      </c>
      <c r="Q2284" s="12"/>
      <c r="R2284" s="19"/>
      <c r="S2284" s="12"/>
      <c r="T2284" s="12"/>
      <c r="U2284" s="10" t="str">
        <f>HYPERLINK("https://pbs.twimg.com/profile_images/1042017361551917056/MKvMmp6K.jpg","View")</f>
        <v>View</v>
      </c>
    </row>
    <row r="2285" spans="1:21" ht="40.799999999999997">
      <c r="A2285" s="6">
        <v>43440.662719907406</v>
      </c>
      <c r="B2285" s="7" t="str">
        <f>HYPERLINK("https://twitter.com/zapper_news","@zapper_news")</f>
        <v>@zapper_news</v>
      </c>
      <c r="C2285" s="8" t="s">
        <v>23</v>
      </c>
      <c r="D2285" s="9" t="s">
        <v>328</v>
      </c>
      <c r="E2285" s="10" t="str">
        <f>HYPERLINK("https://twitter.com/zapper_news/status/1070692919709962240","1070692919709962240")</f>
        <v>1070692919709962240</v>
      </c>
      <c r="F2285" s="11" t="s">
        <v>62</v>
      </c>
      <c r="G2285" s="11" t="s">
        <v>331</v>
      </c>
      <c r="H2285" s="12"/>
      <c r="I2285" s="13">
        <v>0</v>
      </c>
      <c r="J2285" s="13">
        <v>0</v>
      </c>
      <c r="K2285" s="14" t="str">
        <f>HYPERLINK("http://www.tier.be","Stats Now")</f>
        <v>Stats Now</v>
      </c>
      <c r="L2285" s="13">
        <v>285</v>
      </c>
      <c r="M2285" s="13">
        <v>1845</v>
      </c>
      <c r="N2285" s="13">
        <v>0</v>
      </c>
      <c r="O2285" s="15"/>
      <c r="P2285" s="6">
        <v>42874.842048611114</v>
      </c>
      <c r="Q2285" s="16" t="s">
        <v>26</v>
      </c>
      <c r="R2285" s="17" t="s">
        <v>28</v>
      </c>
      <c r="S2285" s="11" t="s">
        <v>29</v>
      </c>
      <c r="T2285" s="12"/>
      <c r="U2285" s="10" t="str">
        <f>HYPERLINK("https://pbs.twimg.com/profile_images/1011404142210961408/ffUw_4XH.jpg","View")</f>
        <v>View</v>
      </c>
    </row>
    <row r="2286" spans="1:21" ht="30.6">
      <c r="A2286" s="6">
        <v>43440.662685185191</v>
      </c>
      <c r="B2286" s="7" t="str">
        <f>HYPERLINK("https://twitter.com/CatalanAnalyst","@CatalanAnalyst")</f>
        <v>@CatalanAnalyst</v>
      </c>
      <c r="C2286" s="8" t="s">
        <v>586</v>
      </c>
      <c r="D2286" s="9" t="s">
        <v>7578</v>
      </c>
      <c r="E2286" s="10" t="str">
        <f>HYPERLINK("https://twitter.com/CatalanAnalyst/status/1070692908389548034","1070692908389548034")</f>
        <v>1070692908389548034</v>
      </c>
      <c r="F2286" s="11" t="s">
        <v>4815</v>
      </c>
      <c r="G2286" s="12"/>
      <c r="H2286" s="12"/>
      <c r="I2286" s="13">
        <v>0</v>
      </c>
      <c r="J2286" s="13">
        <v>0</v>
      </c>
      <c r="K2286" s="14" t="str">
        <f>HYPERLINK("http://twitter.com/download/android","Twitter for Android")</f>
        <v>Twitter for Android</v>
      </c>
      <c r="L2286" s="13">
        <v>1558</v>
      </c>
      <c r="M2286" s="13">
        <v>1063</v>
      </c>
      <c r="N2286" s="13">
        <v>56</v>
      </c>
      <c r="O2286" s="15"/>
      <c r="P2286" s="6">
        <v>42228.675289351857</v>
      </c>
      <c r="Q2286" s="16" t="s">
        <v>589</v>
      </c>
      <c r="R2286" s="21" t="s">
        <v>590</v>
      </c>
      <c r="S2286" s="11" t="s">
        <v>593</v>
      </c>
      <c r="T2286" s="12"/>
      <c r="U2286" s="10" t="str">
        <f>HYPERLINK("https://pbs.twimg.com/profile_images/672374611246452738/oM1fXmFA.jpg","View")</f>
        <v>View</v>
      </c>
    </row>
    <row r="2287" spans="1:21" ht="20.399999999999999">
      <c r="A2287" s="6">
        <v>43440.662245370375</v>
      </c>
      <c r="B2287" s="7" t="str">
        <f>HYPERLINK("https://twitter.com/EPAndalucia","@EPAndalucia")</f>
        <v>@EPAndalucia</v>
      </c>
      <c r="C2287" s="8" t="s">
        <v>2062</v>
      </c>
      <c r="D2287" s="9" t="s">
        <v>7335</v>
      </c>
      <c r="E2287" s="10" t="str">
        <f>HYPERLINK("https://twitter.com/EPAndalucia/status/1070692748641083392","1070692748641083392")</f>
        <v>1070692748641083392</v>
      </c>
      <c r="F2287" s="11" t="s">
        <v>7119</v>
      </c>
      <c r="G2287" s="12"/>
      <c r="H2287" s="12"/>
      <c r="I2287" s="13">
        <v>0</v>
      </c>
      <c r="J2287" s="13">
        <v>0</v>
      </c>
      <c r="K2287" s="14" t="str">
        <f>HYPERLINK("http://www.europapress.es/andalucia","Twitter editor Andalucia")</f>
        <v>Twitter editor Andalucia</v>
      </c>
      <c r="L2287" s="13">
        <v>37573</v>
      </c>
      <c r="M2287" s="13">
        <v>1179</v>
      </c>
      <c r="N2287" s="13">
        <v>862</v>
      </c>
      <c r="O2287" s="15"/>
      <c r="P2287" s="6">
        <v>40540.744988425926</v>
      </c>
      <c r="Q2287" s="16" t="s">
        <v>1150</v>
      </c>
      <c r="R2287" s="17" t="s">
        <v>7579</v>
      </c>
      <c r="S2287" s="11" t="s">
        <v>7580</v>
      </c>
      <c r="T2287" s="12"/>
      <c r="U2287" s="10" t="str">
        <f>HYPERLINK("https://pbs.twimg.com/profile_images/876784913466503168/u7k3N7mS.jpg","View")</f>
        <v>View</v>
      </c>
    </row>
    <row r="2288" spans="1:21" ht="40.799999999999997">
      <c r="A2288" s="6">
        <v>43440.66138888889</v>
      </c>
      <c r="B2288" s="7" t="str">
        <f>HYPERLINK("https://twitter.com/elmunicipio","@elmunicipio")</f>
        <v>@elmunicipio</v>
      </c>
      <c r="C2288" s="8" t="s">
        <v>1177</v>
      </c>
      <c r="D2288" s="9" t="s">
        <v>7581</v>
      </c>
      <c r="E2288" s="10" t="str">
        <f>HYPERLINK("https://twitter.com/elmunicipio/status/1070692439105650688","1070692439105650688")</f>
        <v>1070692439105650688</v>
      </c>
      <c r="F2288" s="11" t="s">
        <v>7582</v>
      </c>
      <c r="G2288" s="12"/>
      <c r="H2288" s="12"/>
      <c r="I2288" s="13">
        <v>0</v>
      </c>
      <c r="J2288" s="13">
        <v>0</v>
      </c>
      <c r="K2288" s="14" t="str">
        <f t="shared" ref="K2288:K2289" si="398">HYPERLINK("http://twitter.com/download/iphone","Twitter for iPhone")</f>
        <v>Twitter for iPhone</v>
      </c>
      <c r="L2288" s="13">
        <v>1469</v>
      </c>
      <c r="M2288" s="13">
        <v>159</v>
      </c>
      <c r="N2288" s="13">
        <v>28</v>
      </c>
      <c r="O2288" s="15"/>
      <c r="P2288" s="6">
        <v>40546.220856481479</v>
      </c>
      <c r="Q2288" s="16" t="s">
        <v>60</v>
      </c>
      <c r="R2288" s="17" t="s">
        <v>1180</v>
      </c>
      <c r="S2288" s="11" t="s">
        <v>1181</v>
      </c>
      <c r="T2288" s="12"/>
      <c r="U2288" s="10" t="str">
        <f>HYPERLINK("https://pbs.twimg.com/profile_images/3743794674/737efa902d93f0827778e488274bb7a8.jpeg","View")</f>
        <v>View</v>
      </c>
    </row>
    <row r="2289" spans="1:21" ht="40.799999999999997">
      <c r="A2289" s="6">
        <v>43440.661319444444</v>
      </c>
      <c r="B2289" s="7" t="str">
        <f>HYPERLINK("https://twitter.com/arturelpayaso2","@arturelpayaso2")</f>
        <v>@arturelpayaso2</v>
      </c>
      <c r="C2289" s="8" t="s">
        <v>508</v>
      </c>
      <c r="D2289" s="9" t="s">
        <v>7583</v>
      </c>
      <c r="E2289" s="10" t="str">
        <f>HYPERLINK("https://twitter.com/arturelpayaso2/status/1070692414724157440","1070692414724157440")</f>
        <v>1070692414724157440</v>
      </c>
      <c r="F2289" s="12"/>
      <c r="G2289" s="11" t="s">
        <v>6314</v>
      </c>
      <c r="H2289" s="12"/>
      <c r="I2289" s="13">
        <v>293</v>
      </c>
      <c r="J2289" s="13">
        <v>453</v>
      </c>
      <c r="K2289" s="14" t="str">
        <f t="shared" si="398"/>
        <v>Twitter for iPhone</v>
      </c>
      <c r="L2289" s="13">
        <v>22804</v>
      </c>
      <c r="M2289" s="13">
        <v>4956</v>
      </c>
      <c r="N2289" s="13">
        <v>143</v>
      </c>
      <c r="O2289" s="15"/>
      <c r="P2289" s="6">
        <v>42514.717685185184</v>
      </c>
      <c r="Q2289" s="16" t="s">
        <v>511</v>
      </c>
      <c r="R2289" s="17" t="s">
        <v>512</v>
      </c>
      <c r="S2289" s="12"/>
      <c r="T2289" s="12"/>
      <c r="U2289" s="10" t="str">
        <f>HYPERLINK("https://pbs.twimg.com/profile_images/1008798326878343168/_PyUUais.jpg","View")</f>
        <v>View</v>
      </c>
    </row>
    <row r="2290" spans="1:21" ht="40.799999999999997">
      <c r="A2290" s="6">
        <v>43440.660266203704</v>
      </c>
      <c r="B2290" s="7" t="str">
        <f>HYPERLINK("https://twitter.com/VeoInfo_","@VeoInfo_")</f>
        <v>@VeoInfo_</v>
      </c>
      <c r="C2290" s="8" t="s">
        <v>2627</v>
      </c>
      <c r="D2290" s="9" t="s">
        <v>7584</v>
      </c>
      <c r="E2290" s="10" t="str">
        <f>HYPERLINK("https://twitter.com/VeoInfo_/status/1070692032816005120","1070692032816005120")</f>
        <v>1070692032816005120</v>
      </c>
      <c r="F2290" s="11" t="s">
        <v>7585</v>
      </c>
      <c r="G2290" s="11" t="s">
        <v>7586</v>
      </c>
      <c r="H2290" s="12"/>
      <c r="I2290" s="13">
        <v>0</v>
      </c>
      <c r="J2290" s="13">
        <v>0</v>
      </c>
      <c r="K2290" s="14" t="str">
        <f>HYPERLINK("http://publicize.wp.com/","WordPress.com")</f>
        <v>WordPress.com</v>
      </c>
      <c r="L2290" s="13">
        <v>1135</v>
      </c>
      <c r="M2290" s="13">
        <v>1139</v>
      </c>
      <c r="N2290" s="13">
        <v>37</v>
      </c>
      <c r="O2290" s="15"/>
      <c r="P2290" s="6">
        <v>41881.101840277777</v>
      </c>
      <c r="Q2290" s="16" t="s">
        <v>2629</v>
      </c>
      <c r="R2290" s="17" t="s">
        <v>2630</v>
      </c>
      <c r="S2290" s="11" t="s">
        <v>2631</v>
      </c>
      <c r="T2290" s="12"/>
      <c r="U2290" s="10" t="str">
        <f>HYPERLINK("https://pbs.twimg.com/profile_images/601509372305485827/Val0dfGy.png","View")</f>
        <v>View</v>
      </c>
    </row>
    <row r="2291" spans="1:21" ht="40.799999999999997">
      <c r="A2291" s="6">
        <v>43440.658032407402</v>
      </c>
      <c r="B2291" s="7" t="str">
        <f>HYPERLINK("https://twitter.com/falcarazfer","@falcarazfer")</f>
        <v>@falcarazfer</v>
      </c>
      <c r="C2291" s="8" t="s">
        <v>6599</v>
      </c>
      <c r="D2291" s="9" t="s">
        <v>5586</v>
      </c>
      <c r="E2291" s="10" t="str">
        <f>HYPERLINK("https://twitter.com/falcarazfer/status/1070691220773658624","1070691220773658624")</f>
        <v>1070691220773658624</v>
      </c>
      <c r="F2291" s="11" t="s">
        <v>4815</v>
      </c>
      <c r="G2291" s="12"/>
      <c r="H2291" s="12"/>
      <c r="I2291" s="13">
        <v>0</v>
      </c>
      <c r="J2291" s="13">
        <v>0</v>
      </c>
      <c r="K2291" s="14" t="str">
        <f>HYPERLINK("http://twitter.com","Twitter Web Client")</f>
        <v>Twitter Web Client</v>
      </c>
      <c r="L2291" s="13">
        <v>3538</v>
      </c>
      <c r="M2291" s="13">
        <v>3498</v>
      </c>
      <c r="N2291" s="13">
        <v>52</v>
      </c>
      <c r="O2291" s="15"/>
      <c r="P2291" s="6">
        <v>41687.861030092594</v>
      </c>
      <c r="Q2291" s="12"/>
      <c r="R2291" s="17" t="s">
        <v>6600</v>
      </c>
      <c r="S2291" s="12"/>
      <c r="T2291" s="12"/>
      <c r="U2291" s="10" t="str">
        <f>HYPERLINK("https://pbs.twimg.com/profile_images/459014754648879105/Dt4Ki-pT.png","View")</f>
        <v>View</v>
      </c>
    </row>
    <row r="2292" spans="1:21" ht="40.799999999999997">
      <c r="A2292" s="6">
        <v>43440.65561342593</v>
      </c>
      <c r="B2292" s="7" t="str">
        <f>HYPERLINK("https://twitter.com/JoseLui43872588","@JoseLui43872588")</f>
        <v>@JoseLui43872588</v>
      </c>
      <c r="C2292" s="8" t="s">
        <v>1378</v>
      </c>
      <c r="D2292" s="9" t="s">
        <v>7587</v>
      </c>
      <c r="E2292" s="10" t="str">
        <f>HYPERLINK("https://twitter.com/JoseLui43872588/status/1070690344579284992","1070690344579284992")</f>
        <v>1070690344579284992</v>
      </c>
      <c r="F2292" s="16" t="s">
        <v>6565</v>
      </c>
      <c r="G2292" s="11" t="s">
        <v>6566</v>
      </c>
      <c r="H2292" s="12"/>
      <c r="I2292" s="13">
        <v>0</v>
      </c>
      <c r="J2292" s="13">
        <v>0</v>
      </c>
      <c r="K2292" s="14" t="str">
        <f t="shared" ref="K2292:K2293" si="399">HYPERLINK("http://twitter.com/download/android","Twitter for Android")</f>
        <v>Twitter for Android</v>
      </c>
      <c r="L2292" s="13">
        <v>518</v>
      </c>
      <c r="M2292" s="13">
        <v>129</v>
      </c>
      <c r="N2292" s="13">
        <v>7</v>
      </c>
      <c r="O2292" s="15"/>
      <c r="P2292" s="6">
        <v>42705.999224537038</v>
      </c>
      <c r="Q2292" s="16" t="s">
        <v>230</v>
      </c>
      <c r="R2292" s="17" t="s">
        <v>1380</v>
      </c>
      <c r="S2292" s="12"/>
      <c r="T2292" s="12"/>
      <c r="U2292" s="10" t="str">
        <f>HYPERLINK("https://pbs.twimg.com/profile_images/1009872713064820737/I4zrX8RR.jpg","View")</f>
        <v>View</v>
      </c>
    </row>
    <row r="2293" spans="1:21" ht="51">
      <c r="A2293" s="6">
        <v>43440.653611111113</v>
      </c>
      <c r="B2293" s="7" t="str">
        <f>HYPERLINK("https://twitter.com/josecalvogomez","@josecalvogomez")</f>
        <v>@josecalvogomez</v>
      </c>
      <c r="C2293" s="8" t="s">
        <v>283</v>
      </c>
      <c r="D2293" s="9" t="s">
        <v>7588</v>
      </c>
      <c r="E2293" s="10" t="str">
        <f>HYPERLINK("https://twitter.com/josecalvogomez/status/1070689617920360448","1070689617920360448")</f>
        <v>1070689617920360448</v>
      </c>
      <c r="F2293" s="11" t="s">
        <v>4815</v>
      </c>
      <c r="G2293" s="12"/>
      <c r="H2293" s="12"/>
      <c r="I2293" s="13">
        <v>0</v>
      </c>
      <c r="J2293" s="13">
        <v>0</v>
      </c>
      <c r="K2293" s="14" t="str">
        <f t="shared" si="399"/>
        <v>Twitter for Android</v>
      </c>
      <c r="L2293" s="13">
        <v>4141</v>
      </c>
      <c r="M2293" s="13">
        <v>5002</v>
      </c>
      <c r="N2293" s="13">
        <v>25</v>
      </c>
      <c r="O2293" s="15"/>
      <c r="P2293" s="6">
        <v>41325.995289351849</v>
      </c>
      <c r="Q2293" s="12"/>
      <c r="R2293" s="19"/>
      <c r="S2293" s="12"/>
      <c r="T2293" s="12"/>
      <c r="U2293" s="10" t="str">
        <f>HYPERLINK("https://pbs.twimg.com/profile_images/641263832598454272/RFaw01FM.jpg","View")</f>
        <v>View</v>
      </c>
    </row>
    <row r="2294" spans="1:21" ht="30.6">
      <c r="A2294" s="6">
        <v>43440.653495370367</v>
      </c>
      <c r="B2294" s="7" t="str">
        <f>HYPERLINK("https://twitter.com/consuyanton","@consuyanton")</f>
        <v>@consuyanton</v>
      </c>
      <c r="C2294" s="8" t="s">
        <v>1494</v>
      </c>
      <c r="D2294" s="9" t="s">
        <v>7589</v>
      </c>
      <c r="E2294" s="10" t="str">
        <f>HYPERLINK("https://twitter.com/consuyanton/status/1070689576468004865","1070689576468004865")</f>
        <v>1070689576468004865</v>
      </c>
      <c r="F2294" s="12"/>
      <c r="G2294" s="12"/>
      <c r="H2294" s="12"/>
      <c r="I2294" s="13">
        <v>0</v>
      </c>
      <c r="J2294" s="13">
        <v>2</v>
      </c>
      <c r="K2294" s="14" t="str">
        <f>HYPERLINK("http://twitter.com","Twitter Web Client")</f>
        <v>Twitter Web Client</v>
      </c>
      <c r="L2294" s="13">
        <v>1600</v>
      </c>
      <c r="M2294" s="13">
        <v>884</v>
      </c>
      <c r="N2294" s="13">
        <v>31</v>
      </c>
      <c r="O2294" s="15"/>
      <c r="P2294" s="6">
        <v>40456.055844907409</v>
      </c>
      <c r="Q2294" s="16" t="s">
        <v>60</v>
      </c>
      <c r="R2294" s="17" t="s">
        <v>1497</v>
      </c>
      <c r="S2294" s="12"/>
      <c r="T2294" s="12"/>
      <c r="U2294" s="10" t="str">
        <f>HYPERLINK("https://pbs.twimg.com/profile_images/3023026475/ef1492f264a722b4ed7460342d63233e.jpeg","View")</f>
        <v>View</v>
      </c>
    </row>
    <row r="2295" spans="1:21" ht="40.799999999999997">
      <c r="A2295" s="6">
        <v>43440.652835648143</v>
      </c>
      <c r="B2295" s="7" t="str">
        <f>HYPERLINK("https://twitter.com/lextresabogados","@lextresabogados")</f>
        <v>@lextresabogados</v>
      </c>
      <c r="C2295" s="8" t="s">
        <v>226</v>
      </c>
      <c r="D2295" s="9" t="s">
        <v>7590</v>
      </c>
      <c r="E2295" s="10" t="str">
        <f>HYPERLINK("https://twitter.com/lextresabogados/status/1070689337044541442","1070689337044541442")</f>
        <v>1070689337044541442</v>
      </c>
      <c r="F2295" s="11" t="s">
        <v>7591</v>
      </c>
      <c r="G2295" s="12"/>
      <c r="H2295" s="12"/>
      <c r="I2295" s="13">
        <v>0</v>
      </c>
      <c r="J2295" s="13">
        <v>0</v>
      </c>
      <c r="K2295" s="14" t="str">
        <f>HYPERLINK("http://35.180.36.179","botize nueva")</f>
        <v>botize nueva</v>
      </c>
      <c r="L2295" s="13">
        <v>2912</v>
      </c>
      <c r="M2295" s="13">
        <v>3525</v>
      </c>
      <c r="N2295" s="13">
        <v>26</v>
      </c>
      <c r="O2295" s="15"/>
      <c r="P2295" s="6">
        <v>42880.770949074074</v>
      </c>
      <c r="Q2295" s="16" t="s">
        <v>230</v>
      </c>
      <c r="R2295" s="17" t="s">
        <v>231</v>
      </c>
      <c r="S2295" s="11" t="s">
        <v>232</v>
      </c>
      <c r="T2295" s="12"/>
      <c r="U2295" s="10" t="str">
        <f>HYPERLINK("https://pbs.twimg.com/profile_images/1068056978679898113/YnjKwiVy.jpg","View")</f>
        <v>View</v>
      </c>
    </row>
    <row r="2296" spans="1:21" ht="40.799999999999997">
      <c r="A2296" s="6">
        <v>43440.652465277773</v>
      </c>
      <c r="B2296" s="7" t="str">
        <f>HYPERLINK("https://twitter.com/caval100","@caval100")</f>
        <v>@caval100</v>
      </c>
      <c r="C2296" s="8" t="s">
        <v>501</v>
      </c>
      <c r="D2296" s="9" t="s">
        <v>4337</v>
      </c>
      <c r="E2296" s="10" t="str">
        <f>HYPERLINK("https://twitter.com/caval100/status/1070689204743622656","1070689204743622656")</f>
        <v>1070689204743622656</v>
      </c>
      <c r="F2296" s="11" t="s">
        <v>4338</v>
      </c>
      <c r="G2296" s="12"/>
      <c r="H2296" s="12"/>
      <c r="I2296" s="13">
        <v>2</v>
      </c>
      <c r="J2296" s="13">
        <v>1</v>
      </c>
      <c r="K2296" s="14" t="str">
        <f>HYPERLINK("http://twitter.com","Twitter Web Client")</f>
        <v>Twitter Web Client</v>
      </c>
      <c r="L2296" s="13">
        <v>119343</v>
      </c>
      <c r="M2296" s="13">
        <v>94000</v>
      </c>
      <c r="N2296" s="13">
        <v>982</v>
      </c>
      <c r="O2296" s="15"/>
      <c r="P2296" s="6">
        <v>40079.437094907407</v>
      </c>
      <c r="Q2296" s="16" t="s">
        <v>505</v>
      </c>
      <c r="R2296" s="17" t="s">
        <v>506</v>
      </c>
      <c r="S2296" s="11" t="s">
        <v>507</v>
      </c>
      <c r="T2296" s="12"/>
      <c r="U2296" s="10" t="str">
        <f>HYPERLINK("https://pbs.twimg.com/profile_images/965350678301429760/uvGI7g8U.jpg","View")</f>
        <v>View</v>
      </c>
    </row>
    <row r="2297" spans="1:21" ht="30.6">
      <c r="A2297" s="6">
        <v>43440.652418981481</v>
      </c>
      <c r="B2297" s="7" t="str">
        <f>HYPERLINK("https://twitter.com/viviruta","@viviruta")</f>
        <v>@viviruta</v>
      </c>
      <c r="C2297" s="8" t="s">
        <v>5784</v>
      </c>
      <c r="D2297" s="9" t="s">
        <v>7592</v>
      </c>
      <c r="E2297" s="10" t="str">
        <f>HYPERLINK("https://twitter.com/viviruta/status/1070689187177881600","1070689187177881600")</f>
        <v>1070689187177881600</v>
      </c>
      <c r="F2297" s="11" t="s">
        <v>6478</v>
      </c>
      <c r="G2297" s="12"/>
      <c r="H2297" s="12"/>
      <c r="I2297" s="13">
        <v>0</v>
      </c>
      <c r="J2297" s="13">
        <v>1</v>
      </c>
      <c r="K2297" s="14" t="str">
        <f>HYPERLINK("http://twitter.com/download/android","Twitter for Android")</f>
        <v>Twitter for Android</v>
      </c>
      <c r="L2297" s="13">
        <v>423</v>
      </c>
      <c r="M2297" s="13">
        <v>1048</v>
      </c>
      <c r="N2297" s="13">
        <v>5</v>
      </c>
      <c r="O2297" s="15"/>
      <c r="P2297" s="6">
        <v>40274.47828703704</v>
      </c>
      <c r="Q2297" s="16" t="s">
        <v>163</v>
      </c>
      <c r="R2297" s="19"/>
      <c r="S2297" s="11" t="s">
        <v>5786</v>
      </c>
      <c r="T2297" s="12"/>
      <c r="U2297" s="10" t="str">
        <f>HYPERLINK("https://pbs.twimg.com/profile_images/924700405396836352/axaa6yGM.jpg","View")</f>
        <v>View</v>
      </c>
    </row>
    <row r="2298" spans="1:21" ht="30.6">
      <c r="A2298" s="6">
        <v>43440.651944444442</v>
      </c>
      <c r="B2298" s="7" t="str">
        <f>HYPERLINK("https://twitter.com/riduran_p","@riduran_p")</f>
        <v>@riduran_p</v>
      </c>
      <c r="C2298" s="8" t="s">
        <v>7593</v>
      </c>
      <c r="D2298" s="9" t="s">
        <v>5586</v>
      </c>
      <c r="E2298" s="10" t="str">
        <f>HYPERLINK("https://twitter.com/riduran_p/status/1070689017568616448","1070689017568616448")</f>
        <v>1070689017568616448</v>
      </c>
      <c r="F2298" s="11" t="s">
        <v>4815</v>
      </c>
      <c r="G2298" s="12"/>
      <c r="H2298" s="12"/>
      <c r="I2298" s="13">
        <v>1</v>
      </c>
      <c r="J2298" s="13">
        <v>1</v>
      </c>
      <c r="K2298" s="14" t="str">
        <f t="shared" ref="K2298:K2300" si="400">HYPERLINK("http://twitter.com","Twitter Web Client")</f>
        <v>Twitter Web Client</v>
      </c>
      <c r="L2298" s="13">
        <v>8543</v>
      </c>
      <c r="M2298" s="13">
        <v>7522</v>
      </c>
      <c r="N2298" s="13">
        <v>22</v>
      </c>
      <c r="O2298" s="15"/>
      <c r="P2298" s="6">
        <v>40678.594918981486</v>
      </c>
      <c r="Q2298" s="16" t="s">
        <v>325</v>
      </c>
      <c r="R2298" s="17" t="s">
        <v>7594</v>
      </c>
      <c r="S2298" s="11" t="s">
        <v>7595</v>
      </c>
      <c r="T2298" s="12"/>
      <c r="U2298" s="10" t="str">
        <f>HYPERLINK("https://pbs.twimg.com/profile_images/972822677244272640/23HaWXad.jpg","View")</f>
        <v>View</v>
      </c>
    </row>
    <row r="2299" spans="1:21" ht="51">
      <c r="A2299" s="6">
        <v>43440.651874999996</v>
      </c>
      <c r="B2299" s="7" t="str">
        <f>HYPERLINK("https://twitter.com/caval100","@caval100")</f>
        <v>@caval100</v>
      </c>
      <c r="C2299" s="8" t="s">
        <v>501</v>
      </c>
      <c r="D2299" s="9" t="s">
        <v>4783</v>
      </c>
      <c r="E2299" s="10" t="str">
        <f>HYPERLINK("https://twitter.com/caval100/status/1070688991115137024","1070688991115137024")</f>
        <v>1070688991115137024</v>
      </c>
      <c r="F2299" s="11" t="s">
        <v>4784</v>
      </c>
      <c r="G2299" s="12"/>
      <c r="H2299" s="12"/>
      <c r="I2299" s="13">
        <v>0</v>
      </c>
      <c r="J2299" s="13">
        <v>1</v>
      </c>
      <c r="K2299" s="14" t="str">
        <f t="shared" si="400"/>
        <v>Twitter Web Client</v>
      </c>
      <c r="L2299" s="13">
        <v>119343</v>
      </c>
      <c r="M2299" s="13">
        <v>94000</v>
      </c>
      <c r="N2299" s="13">
        <v>982</v>
      </c>
      <c r="O2299" s="15"/>
      <c r="P2299" s="6">
        <v>40079.437094907407</v>
      </c>
      <c r="Q2299" s="16" t="s">
        <v>505</v>
      </c>
      <c r="R2299" s="17" t="s">
        <v>506</v>
      </c>
      <c r="S2299" s="11" t="s">
        <v>507</v>
      </c>
      <c r="T2299" s="12"/>
      <c r="U2299" s="10" t="str">
        <f>HYPERLINK("https://pbs.twimg.com/profile_images/965350678301429760/uvGI7g8U.jpg","View")</f>
        <v>View</v>
      </c>
    </row>
    <row r="2300" spans="1:21" ht="40.799999999999997">
      <c r="A2300" s="6">
        <v>43440.651643518519</v>
      </c>
      <c r="B2300" s="7" t="str">
        <f>HYPERLINK("https://twitter.com/Kojackadas","@Kojackadas")</f>
        <v>@Kojackadas</v>
      </c>
      <c r="C2300" s="8" t="s">
        <v>804</v>
      </c>
      <c r="D2300" s="9" t="s">
        <v>7596</v>
      </c>
      <c r="E2300" s="10" t="str">
        <f>HYPERLINK("https://twitter.com/Kojackadas/status/1070688905584930816","1070688905584930816")</f>
        <v>1070688905584930816</v>
      </c>
      <c r="F2300" s="16" t="s">
        <v>7597</v>
      </c>
      <c r="G2300" s="12"/>
      <c r="H2300" s="12"/>
      <c r="I2300" s="13">
        <v>0</v>
      </c>
      <c r="J2300" s="13">
        <v>0</v>
      </c>
      <c r="K2300" s="14" t="str">
        <f t="shared" si="400"/>
        <v>Twitter Web Client</v>
      </c>
      <c r="L2300" s="13">
        <v>6167</v>
      </c>
      <c r="M2300" s="13">
        <v>6760</v>
      </c>
      <c r="N2300" s="13">
        <v>26</v>
      </c>
      <c r="O2300" s="15"/>
      <c r="P2300" s="6">
        <v>41389.461724537039</v>
      </c>
      <c r="Q2300" s="16" t="s">
        <v>806</v>
      </c>
      <c r="R2300" s="17" t="s">
        <v>807</v>
      </c>
      <c r="S2300" s="11" t="s">
        <v>808</v>
      </c>
      <c r="T2300" s="12"/>
      <c r="U2300" s="10" t="str">
        <f>HYPERLINK("https://pbs.twimg.com/profile_images/3572377129/ceb12f4ec045ef03e87300a9c0b4caca.jpeg","View")</f>
        <v>View</v>
      </c>
    </row>
    <row r="2301" spans="1:21" ht="30.6">
      <c r="A2301" s="6">
        <v>43440.651562500003</v>
      </c>
      <c r="B2301" s="7" t="str">
        <f>HYPERLINK("https://twitter.com/Monica_Roman99","@Monica_Roman99")</f>
        <v>@Monica_Roman99</v>
      </c>
      <c r="C2301" s="8" t="s">
        <v>7598</v>
      </c>
      <c r="D2301" s="9" t="s">
        <v>7599</v>
      </c>
      <c r="E2301" s="10" t="str">
        <f>HYPERLINK("https://twitter.com/Monica_Roman99/status/1070688876744925185","1070688876744925185")</f>
        <v>1070688876744925185</v>
      </c>
      <c r="F2301" s="12"/>
      <c r="G2301" s="12"/>
      <c r="H2301" s="12"/>
      <c r="I2301" s="13">
        <v>0</v>
      </c>
      <c r="J2301" s="13">
        <v>0</v>
      </c>
      <c r="K2301" s="14" t="str">
        <f>HYPERLINK("http://twitter.com/download/android","Twitter for Android")</f>
        <v>Twitter for Android</v>
      </c>
      <c r="L2301" s="13">
        <v>1339</v>
      </c>
      <c r="M2301" s="13">
        <v>1744</v>
      </c>
      <c r="N2301" s="13">
        <v>5</v>
      </c>
      <c r="O2301" s="15"/>
      <c r="P2301" s="6">
        <v>41098.547847222224</v>
      </c>
      <c r="Q2301" s="16" t="s">
        <v>163</v>
      </c>
      <c r="R2301" s="17" t="s">
        <v>7600</v>
      </c>
      <c r="S2301" s="11" t="s">
        <v>7601</v>
      </c>
      <c r="T2301" s="12"/>
      <c r="U2301" s="10" t="str">
        <f>HYPERLINK("https://pbs.twimg.com/profile_images/1069980823640780801/qAdcr5fh.jpg","View")</f>
        <v>View</v>
      </c>
    </row>
    <row r="2302" spans="1:21" ht="30.6">
      <c r="A2302" s="6">
        <v>43440.651134259257</v>
      </c>
      <c r="B2302" s="7" t="str">
        <f>HYPERLINK("https://twitter.com/Mafe__Ramirez","@Mafe__Ramirez")</f>
        <v>@Mafe__Ramirez</v>
      </c>
      <c r="C2302" s="8" t="s">
        <v>7602</v>
      </c>
      <c r="D2302" s="9" t="s">
        <v>7603</v>
      </c>
      <c r="E2302" s="10" t="str">
        <f>HYPERLINK("https://twitter.com/Mafe__Ramirez/status/1070688721748545541","1070688721748545541")</f>
        <v>1070688721748545541</v>
      </c>
      <c r="F2302" s="12"/>
      <c r="G2302" s="12"/>
      <c r="H2302" s="12"/>
      <c r="I2302" s="13">
        <v>0</v>
      </c>
      <c r="J2302" s="13">
        <v>0</v>
      </c>
      <c r="K2302" s="14" t="str">
        <f>HYPERLINK("https://mobile.twitter.com","Twitter Lite")</f>
        <v>Twitter Lite</v>
      </c>
      <c r="L2302" s="13">
        <v>938</v>
      </c>
      <c r="M2302" s="13">
        <v>447</v>
      </c>
      <c r="N2302" s="13">
        <v>10</v>
      </c>
      <c r="O2302" s="15"/>
      <c r="P2302" s="6">
        <v>40810.883888888886</v>
      </c>
      <c r="Q2302" s="16" t="s">
        <v>1984</v>
      </c>
      <c r="R2302" s="17" t="s">
        <v>7604</v>
      </c>
      <c r="S2302" s="11" t="s">
        <v>7605</v>
      </c>
      <c r="T2302" s="12"/>
      <c r="U2302" s="10" t="str">
        <f>HYPERLINK("https://pbs.twimg.com/profile_images/1067770330347945984/tQCuSOy-.jpg","View")</f>
        <v>View</v>
      </c>
    </row>
    <row r="2303" spans="1:21" ht="30.6">
      <c r="A2303" s="6">
        <v>43440.650752314818</v>
      </c>
      <c r="B2303" s="7" t="str">
        <f>HYPERLINK("https://twitter.com/libertaddigital","@libertaddigital")</f>
        <v>@libertaddigital</v>
      </c>
      <c r="C2303" s="8" t="s">
        <v>730</v>
      </c>
      <c r="D2303" s="9" t="s">
        <v>7590</v>
      </c>
      <c r="E2303" s="10" t="str">
        <f>HYPERLINK("https://twitter.com/libertaddigital/status/1070688584053678081","1070688584053678081")</f>
        <v>1070688584053678081</v>
      </c>
      <c r="F2303" s="11" t="s">
        <v>7591</v>
      </c>
      <c r="G2303" s="12"/>
      <c r="H2303" s="12"/>
      <c r="I2303" s="13">
        <v>46</v>
      </c>
      <c r="J2303" s="13">
        <v>45</v>
      </c>
      <c r="K2303" s="14" t="str">
        <f>HYPERLINK("https://dlvrit.com/","dlvr.it")</f>
        <v>dlvr.it</v>
      </c>
      <c r="L2303" s="13">
        <v>126266</v>
      </c>
      <c r="M2303" s="13">
        <v>562</v>
      </c>
      <c r="N2303" s="13">
        <v>2379</v>
      </c>
      <c r="O2303" s="18" t="s">
        <v>41</v>
      </c>
      <c r="P2303" s="6">
        <v>39899.727141203708</v>
      </c>
      <c r="Q2303" s="16" t="s">
        <v>200</v>
      </c>
      <c r="R2303" s="17" t="s">
        <v>733</v>
      </c>
      <c r="S2303" s="11" t="s">
        <v>734</v>
      </c>
      <c r="T2303" s="12"/>
      <c r="U2303" s="10" t="str">
        <f>HYPERLINK("https://pbs.twimg.com/profile_images/913700935603499008/ifTjXKGZ.jpg","View")</f>
        <v>View</v>
      </c>
    </row>
    <row r="2304" spans="1:21" ht="40.799999999999997">
      <c r="A2304" s="6">
        <v>43440.649652777778</v>
      </c>
      <c r="B2304" s="7" t="str">
        <f>HYPERLINK("https://twitter.com/Kojackadas","@Kojackadas")</f>
        <v>@Kojackadas</v>
      </c>
      <c r="C2304" s="8" t="s">
        <v>804</v>
      </c>
      <c r="D2304" s="9" t="s">
        <v>7606</v>
      </c>
      <c r="E2304" s="10" t="str">
        <f>HYPERLINK("https://twitter.com/Kojackadas/status/1070688185737457664","1070688185737457664")</f>
        <v>1070688185737457664</v>
      </c>
      <c r="F2304" s="11" t="s">
        <v>6691</v>
      </c>
      <c r="G2304" s="11" t="s">
        <v>6692</v>
      </c>
      <c r="H2304" s="12"/>
      <c r="I2304" s="13">
        <v>0</v>
      </c>
      <c r="J2304" s="13">
        <v>0</v>
      </c>
      <c r="K2304" s="14" t="str">
        <f t="shared" ref="K2304:K2305" si="401">HYPERLINK("http://twitter.com","Twitter Web Client")</f>
        <v>Twitter Web Client</v>
      </c>
      <c r="L2304" s="13">
        <v>6167</v>
      </c>
      <c r="M2304" s="13">
        <v>6760</v>
      </c>
      <c r="N2304" s="13">
        <v>26</v>
      </c>
      <c r="O2304" s="15"/>
      <c r="P2304" s="6">
        <v>41389.461724537039</v>
      </c>
      <c r="Q2304" s="16" t="s">
        <v>806</v>
      </c>
      <c r="R2304" s="17" t="s">
        <v>807</v>
      </c>
      <c r="S2304" s="11" t="s">
        <v>808</v>
      </c>
      <c r="T2304" s="12"/>
      <c r="U2304" s="10" t="str">
        <f>HYPERLINK("https://pbs.twimg.com/profile_images/3572377129/ceb12f4ec045ef03e87300a9c0b4caca.jpeg","View")</f>
        <v>View</v>
      </c>
    </row>
    <row r="2305" spans="1:21" ht="40.799999999999997">
      <c r="A2305" s="6">
        <v>43440.649560185186</v>
      </c>
      <c r="B2305" s="7" t="str">
        <f>HYPERLINK("https://twitter.com/Sanfermin00","@Sanfermin00")</f>
        <v>@Sanfermin00</v>
      </c>
      <c r="C2305" s="8" t="s">
        <v>3942</v>
      </c>
      <c r="D2305" s="9" t="s">
        <v>6246</v>
      </c>
      <c r="E2305" s="10" t="str">
        <f>HYPERLINK("https://twitter.com/Sanfermin00/status/1070688151776169984","1070688151776169984")</f>
        <v>1070688151776169984</v>
      </c>
      <c r="F2305" s="11" t="s">
        <v>6247</v>
      </c>
      <c r="G2305" s="12"/>
      <c r="H2305" s="12"/>
      <c r="I2305" s="13">
        <v>0</v>
      </c>
      <c r="J2305" s="13">
        <v>0</v>
      </c>
      <c r="K2305" s="14" t="str">
        <f t="shared" si="401"/>
        <v>Twitter Web Client</v>
      </c>
      <c r="L2305" s="13">
        <v>16528</v>
      </c>
      <c r="M2305" s="13">
        <v>13714</v>
      </c>
      <c r="N2305" s="13">
        <v>122</v>
      </c>
      <c r="O2305" s="15"/>
      <c r="P2305" s="6">
        <v>42362.637083333335</v>
      </c>
      <c r="Q2305" s="16" t="s">
        <v>3945</v>
      </c>
      <c r="R2305" s="17" t="s">
        <v>3946</v>
      </c>
      <c r="S2305" s="11" t="s">
        <v>3947</v>
      </c>
      <c r="T2305" s="12"/>
      <c r="U2305" s="10" t="str">
        <f>HYPERLINK("https://pbs.twimg.com/profile_images/1064102923624480768/j11dV2-u.jpg","View")</f>
        <v>View</v>
      </c>
    </row>
    <row r="2306" spans="1:21" ht="30.6">
      <c r="A2306" s="6">
        <v>43440.649479166663</v>
      </c>
      <c r="B2306" s="7" t="str">
        <f>HYPERLINK("https://twitter.com/evandando10","@evandando10")</f>
        <v>@evandando10</v>
      </c>
      <c r="C2306" s="8" t="s">
        <v>7607</v>
      </c>
      <c r="D2306" s="9" t="s">
        <v>7608</v>
      </c>
      <c r="E2306" s="10" t="str">
        <f>HYPERLINK("https://twitter.com/evandando10/status/1070688123028418560","1070688123028418560")</f>
        <v>1070688123028418560</v>
      </c>
      <c r="F2306" s="11" t="s">
        <v>4145</v>
      </c>
      <c r="G2306" s="11" t="s">
        <v>7609</v>
      </c>
      <c r="H2306" s="12"/>
      <c r="I2306" s="13">
        <v>0</v>
      </c>
      <c r="J2306" s="13">
        <v>0</v>
      </c>
      <c r="K2306" s="14" t="str">
        <f>HYPERLINK("https://buffer.com","Buffer")</f>
        <v>Buffer</v>
      </c>
      <c r="L2306" s="13">
        <v>5988</v>
      </c>
      <c r="M2306" s="13">
        <v>6878</v>
      </c>
      <c r="N2306" s="13">
        <v>33</v>
      </c>
      <c r="O2306" s="15"/>
      <c r="P2306" s="6">
        <v>42079.38453703704</v>
      </c>
      <c r="Q2306" s="12"/>
      <c r="R2306" s="17" t="s">
        <v>7610</v>
      </c>
      <c r="S2306" s="12"/>
      <c r="T2306" s="12"/>
      <c r="U2306" s="10" t="str">
        <f>HYPERLINK("https://pbs.twimg.com/profile_images/592954766373838849/spgpI58P.jpg","View")</f>
        <v>View</v>
      </c>
    </row>
    <row r="2307" spans="1:21" ht="40.799999999999997">
      <c r="A2307" s="6">
        <v>43440.649375000001</v>
      </c>
      <c r="B2307" s="7" t="str">
        <f>HYPERLINK("https://twitter.com/InLibertatem","@InLibertatem")</f>
        <v>@InLibertatem</v>
      </c>
      <c r="C2307" s="8" t="s">
        <v>2232</v>
      </c>
      <c r="D2307" s="9" t="s">
        <v>7611</v>
      </c>
      <c r="E2307" s="10" t="str">
        <f>HYPERLINK("https://twitter.com/InLibertatem/status/1070688086403792896","1070688086403792896")</f>
        <v>1070688086403792896</v>
      </c>
      <c r="F2307" s="11" t="s">
        <v>4815</v>
      </c>
      <c r="G2307" s="12"/>
      <c r="H2307" s="12"/>
      <c r="I2307" s="13">
        <v>1</v>
      </c>
      <c r="J2307" s="13">
        <v>1</v>
      </c>
      <c r="K2307" s="14" t="str">
        <f t="shared" ref="K2307:K2308" si="402">HYPERLINK("http://twitter.com","Twitter Web Client")</f>
        <v>Twitter Web Client</v>
      </c>
      <c r="L2307" s="13">
        <v>7610</v>
      </c>
      <c r="M2307" s="13">
        <v>280</v>
      </c>
      <c r="N2307" s="13">
        <v>51</v>
      </c>
      <c r="O2307" s="15"/>
      <c r="P2307" s="6">
        <v>41121.592812499999</v>
      </c>
      <c r="Q2307" s="16" t="s">
        <v>2234</v>
      </c>
      <c r="R2307" s="17" t="s">
        <v>2235</v>
      </c>
      <c r="S2307" s="12"/>
      <c r="T2307" s="12"/>
      <c r="U2307" s="10" t="str">
        <f>HYPERLINK("https://pbs.twimg.com/profile_images/1070729371235876865/F7kJZC-a.jpg","View")</f>
        <v>View</v>
      </c>
    </row>
    <row r="2308" spans="1:21" ht="40.799999999999997">
      <c r="A2308" s="6">
        <v>43440.64844907407</v>
      </c>
      <c r="B2308" s="7" t="str">
        <f>HYPERLINK("https://twitter.com/Sanfermin00","@Sanfermin00")</f>
        <v>@Sanfermin00</v>
      </c>
      <c r="C2308" s="8" t="s">
        <v>3942</v>
      </c>
      <c r="D2308" s="9" t="s">
        <v>5328</v>
      </c>
      <c r="E2308" s="10" t="str">
        <f>HYPERLINK("https://twitter.com/Sanfermin00/status/1070687749164949504","1070687749164949504")</f>
        <v>1070687749164949504</v>
      </c>
      <c r="F2308" s="11" t="s">
        <v>5329</v>
      </c>
      <c r="G2308" s="12"/>
      <c r="H2308" s="12"/>
      <c r="I2308" s="13">
        <v>0</v>
      </c>
      <c r="J2308" s="13">
        <v>0</v>
      </c>
      <c r="K2308" s="14" t="str">
        <f t="shared" si="402"/>
        <v>Twitter Web Client</v>
      </c>
      <c r="L2308" s="13">
        <v>16528</v>
      </c>
      <c r="M2308" s="13">
        <v>13714</v>
      </c>
      <c r="N2308" s="13">
        <v>122</v>
      </c>
      <c r="O2308" s="15"/>
      <c r="P2308" s="6">
        <v>42362.637083333335</v>
      </c>
      <c r="Q2308" s="16" t="s">
        <v>3945</v>
      </c>
      <c r="R2308" s="17" t="s">
        <v>3946</v>
      </c>
      <c r="S2308" s="11" t="s">
        <v>3947</v>
      </c>
      <c r="T2308" s="12"/>
      <c r="U2308" s="10" t="str">
        <f>HYPERLINK("https://pbs.twimg.com/profile_images/1064102923624480768/j11dV2-u.jpg","View")</f>
        <v>View</v>
      </c>
    </row>
    <row r="2309" spans="1:21" ht="20.399999999999999">
      <c r="A2309" s="6">
        <v>43440.64671296296</v>
      </c>
      <c r="B2309" s="7" t="str">
        <f>HYPERLINK("https://twitter.com/eldiarioes","@eldiarioes")</f>
        <v>@eldiarioes</v>
      </c>
      <c r="C2309" s="20" t="s">
        <v>642</v>
      </c>
      <c r="D2309" s="9" t="s">
        <v>7612</v>
      </c>
      <c r="E2309" s="10" t="str">
        <f>HYPERLINK("https://twitter.com/eldiarioes/status/1070687121869037568","1070687121869037568")</f>
        <v>1070687121869037568</v>
      </c>
      <c r="F2309" s="11" t="s">
        <v>7577</v>
      </c>
      <c r="G2309" s="11" t="s">
        <v>6968</v>
      </c>
      <c r="H2309" s="12"/>
      <c r="I2309" s="13">
        <v>6</v>
      </c>
      <c r="J2309" s="13">
        <v>9</v>
      </c>
      <c r="K2309" s="14" t="str">
        <f>HYPERLINK("https://about.twitter.com/products/tweetdeck","TweetDeck")</f>
        <v>TweetDeck</v>
      </c>
      <c r="L2309" s="13">
        <v>940168</v>
      </c>
      <c r="M2309" s="13">
        <v>456</v>
      </c>
      <c r="N2309" s="13">
        <v>11262</v>
      </c>
      <c r="O2309" s="18" t="s">
        <v>41</v>
      </c>
      <c r="P2309" s="6">
        <v>40992.839189814811</v>
      </c>
      <c r="Q2309" s="12"/>
      <c r="R2309" s="17" t="s">
        <v>643</v>
      </c>
      <c r="S2309" s="11" t="s">
        <v>644</v>
      </c>
      <c r="T2309" s="12"/>
      <c r="U2309" s="10" t="str">
        <f>HYPERLINK("https://pbs.twimg.com/profile_images/1016600645292511232/eYIkIK2s.jpg","View")</f>
        <v>View</v>
      </c>
    </row>
    <row r="2310" spans="1:21" ht="51">
      <c r="A2310" s="6">
        <v>43440.645787037036</v>
      </c>
      <c r="B2310" s="7" t="str">
        <f>HYPERLINK("https://twitter.com/AlbertoSBlanco","@AlbertoSBlanco")</f>
        <v>@AlbertoSBlanco</v>
      </c>
      <c r="C2310" s="8" t="s">
        <v>6978</v>
      </c>
      <c r="D2310" s="9" t="s">
        <v>6979</v>
      </c>
      <c r="E2310" s="10" t="str">
        <f>HYPERLINK("https://twitter.com/AlbertoSBlanco/status/1070686785875910656","1070686785875910656")</f>
        <v>1070686785875910656</v>
      </c>
      <c r="F2310" s="11" t="s">
        <v>5682</v>
      </c>
      <c r="G2310" s="12"/>
      <c r="H2310" s="12"/>
      <c r="I2310" s="13">
        <v>1</v>
      </c>
      <c r="J2310" s="13">
        <v>2</v>
      </c>
      <c r="K2310" s="14" t="str">
        <f t="shared" ref="K2310:K2311" si="403">HYPERLINK("http://twitter.com/download/android","Twitter for Android")</f>
        <v>Twitter for Android</v>
      </c>
      <c r="L2310" s="13">
        <v>2667</v>
      </c>
      <c r="M2310" s="13">
        <v>1400</v>
      </c>
      <c r="N2310" s="13">
        <v>33</v>
      </c>
      <c r="O2310" s="15"/>
      <c r="P2310" s="6">
        <v>40747.720636574071</v>
      </c>
      <c r="Q2310" s="12"/>
      <c r="R2310" s="17" t="s">
        <v>6980</v>
      </c>
      <c r="S2310" s="11" t="s">
        <v>6981</v>
      </c>
      <c r="T2310" s="12"/>
      <c r="U2310" s="10" t="str">
        <f>HYPERLINK("https://pbs.twimg.com/profile_images/966330983829135360/yRqQ0NN1.jpg","View")</f>
        <v>View</v>
      </c>
    </row>
    <row r="2311" spans="1:21" ht="40.799999999999997">
      <c r="A2311" s="6">
        <v>43440.645416666666</v>
      </c>
      <c r="B2311" s="7" t="str">
        <f>HYPERLINK("https://twitter.com/VAMarcosL","@VAMarcosL")</f>
        <v>@VAMarcosL</v>
      </c>
      <c r="C2311" s="8" t="s">
        <v>5936</v>
      </c>
      <c r="D2311" s="9" t="s">
        <v>4627</v>
      </c>
      <c r="E2311" s="10" t="str">
        <f>HYPERLINK("https://twitter.com/VAMarcosL/status/1070686650991304706","1070686650991304706")</f>
        <v>1070686650991304706</v>
      </c>
      <c r="F2311" s="11" t="s">
        <v>4628</v>
      </c>
      <c r="G2311" s="12"/>
      <c r="H2311" s="12"/>
      <c r="I2311" s="13">
        <v>0</v>
      </c>
      <c r="J2311" s="13">
        <v>0</v>
      </c>
      <c r="K2311" s="14" t="str">
        <f t="shared" si="403"/>
        <v>Twitter for Android</v>
      </c>
      <c r="L2311" s="13">
        <v>2421</v>
      </c>
      <c r="M2311" s="13">
        <v>2412</v>
      </c>
      <c r="N2311" s="13">
        <v>70</v>
      </c>
      <c r="O2311" s="15"/>
      <c r="P2311" s="6">
        <v>40608.82340277778</v>
      </c>
      <c r="Q2311" s="16" t="s">
        <v>5939</v>
      </c>
      <c r="R2311" s="17" t="s">
        <v>5940</v>
      </c>
      <c r="S2311" s="12"/>
      <c r="T2311" s="12"/>
      <c r="U2311" s="10" t="str">
        <f>HYPERLINK("https://pbs.twimg.com/profile_images/970324059090313218/ltowCBEJ.jpg","View")</f>
        <v>View</v>
      </c>
    </row>
    <row r="2312" spans="1:21" ht="40.799999999999997">
      <c r="A2312" s="6">
        <v>43440.644687499997</v>
      </c>
      <c r="B2312" s="7" t="str">
        <f>HYPERLINK("https://twitter.com/tio_chabo","@tio_chabo")</f>
        <v>@tio_chabo</v>
      </c>
      <c r="C2312" s="8" t="s">
        <v>5047</v>
      </c>
      <c r="D2312" s="9" t="s">
        <v>7613</v>
      </c>
      <c r="E2312" s="10" t="str">
        <f>HYPERLINK("https://twitter.com/tio_chabo/status/1070686387991654400","1070686387991654400")</f>
        <v>1070686387991654400</v>
      </c>
      <c r="F2312" s="11" t="s">
        <v>7614</v>
      </c>
      <c r="G2312" s="12"/>
      <c r="H2312" s="12"/>
      <c r="I2312" s="13">
        <v>0</v>
      </c>
      <c r="J2312" s="13">
        <v>0</v>
      </c>
      <c r="K2312" s="14" t="str">
        <f>HYPERLINK("https://ifttt.com","IFTTT")</f>
        <v>IFTTT</v>
      </c>
      <c r="L2312" s="13">
        <v>3112</v>
      </c>
      <c r="M2312" s="13">
        <v>3722</v>
      </c>
      <c r="N2312" s="13">
        <v>68</v>
      </c>
      <c r="O2312" s="15"/>
      <c r="P2312" s="6">
        <v>40964.769629629627</v>
      </c>
      <c r="Q2312" s="16" t="s">
        <v>5050</v>
      </c>
      <c r="R2312" s="17" t="s">
        <v>5051</v>
      </c>
      <c r="S2312" s="11" t="s">
        <v>5052</v>
      </c>
      <c r="T2312" s="12"/>
      <c r="U2312" s="10" t="str">
        <f>HYPERLINK("https://pbs.twimg.com/profile_images/837040061870833666/XUkKbbB4.jpg","View")</f>
        <v>View</v>
      </c>
    </row>
    <row r="2313" spans="1:21" ht="30.6">
      <c r="A2313" s="6">
        <v>43440.644282407404</v>
      </c>
      <c r="B2313" s="7" t="str">
        <f>HYPERLINK("https://twitter.com/BelenOrtizCalle","@BelenOrtizCalle")</f>
        <v>@BelenOrtizCalle</v>
      </c>
      <c r="C2313" s="8" t="s">
        <v>6991</v>
      </c>
      <c r="D2313" s="9" t="s">
        <v>6992</v>
      </c>
      <c r="E2313" s="10" t="str">
        <f>HYPERLINK("https://twitter.com/BelenOrtizCalle/status/1070686241308508161","1070686241308508161")</f>
        <v>1070686241308508161</v>
      </c>
      <c r="F2313" s="11" t="s">
        <v>6393</v>
      </c>
      <c r="G2313" s="12"/>
      <c r="H2313" s="12"/>
      <c r="I2313" s="13">
        <v>1</v>
      </c>
      <c r="J2313" s="13">
        <v>1</v>
      </c>
      <c r="K2313" s="14" t="str">
        <f>HYPERLINK("http://twitter.com/download/iphone","Twitter for iPhone")</f>
        <v>Twitter for iPhone</v>
      </c>
      <c r="L2313" s="13">
        <v>1133</v>
      </c>
      <c r="M2313" s="13">
        <v>446</v>
      </c>
      <c r="N2313" s="13">
        <v>25</v>
      </c>
      <c r="O2313" s="15"/>
      <c r="P2313" s="6">
        <v>42037.463692129633</v>
      </c>
      <c r="Q2313" s="16" t="s">
        <v>26</v>
      </c>
      <c r="R2313" s="17" t="s">
        <v>6997</v>
      </c>
      <c r="S2313" s="11" t="s">
        <v>6998</v>
      </c>
      <c r="T2313" s="12"/>
      <c r="U2313" s="10" t="str">
        <f>HYPERLINK("https://pbs.twimg.com/profile_images/941287712396599302/AUEGanMF.jpg","View")</f>
        <v>View</v>
      </c>
    </row>
    <row r="2314" spans="1:21" ht="51">
      <c r="A2314" s="6">
        <v>43440.643217592587</v>
      </c>
      <c r="B2314" s="7" t="str">
        <f>HYPERLINK("https://twitter.com/bet365_es","@bet365_es")</f>
        <v>@bet365_es</v>
      </c>
      <c r="C2314" s="8" t="s">
        <v>7615</v>
      </c>
      <c r="D2314" s="9" t="s">
        <v>7616</v>
      </c>
      <c r="E2314" s="10" t="str">
        <f>HYPERLINK("https://twitter.com/bet365_es/status/1070685852421029888","1070685852421029888")</f>
        <v>1070685852421029888</v>
      </c>
      <c r="F2314" s="12"/>
      <c r="G2314" s="12"/>
      <c r="H2314" s="12"/>
      <c r="I2314" s="13">
        <v>0</v>
      </c>
      <c r="J2314" s="13">
        <v>0</v>
      </c>
      <c r="K2314" s="14" t="str">
        <f>HYPERLINK("http://twitter.com","Twitter Web Client")</f>
        <v>Twitter Web Client</v>
      </c>
      <c r="L2314" s="13">
        <v>112657</v>
      </c>
      <c r="M2314" s="13">
        <v>365</v>
      </c>
      <c r="N2314" s="13">
        <v>289</v>
      </c>
      <c r="O2314" s="18" t="s">
        <v>41</v>
      </c>
      <c r="P2314" s="6">
        <v>40842.768182870372</v>
      </c>
      <c r="Q2314" s="12"/>
      <c r="R2314" s="17" t="s">
        <v>7617</v>
      </c>
      <c r="S2314" s="11" t="s">
        <v>7618</v>
      </c>
      <c r="T2314" s="12"/>
      <c r="U2314" s="10" t="str">
        <f>HYPERLINK("https://pbs.twimg.com/profile_images/875374897660407808/I1cb_hr-.jpg","View")</f>
        <v>View</v>
      </c>
    </row>
    <row r="2315" spans="1:21" ht="40.799999999999997">
      <c r="A2315" s="6">
        <v>43440.643194444448</v>
      </c>
      <c r="B2315" s="7" t="str">
        <f>HYPERLINK("https://twitter.com/Guadalupbragado","@Guadalupbragado")</f>
        <v>@Guadalupbragado</v>
      </c>
      <c r="C2315" s="8" t="s">
        <v>5124</v>
      </c>
      <c r="D2315" s="9" t="s">
        <v>5252</v>
      </c>
      <c r="E2315" s="10" t="str">
        <f>HYPERLINK("https://twitter.com/Guadalupbragado/status/1070685844753793024","1070685844753793024")</f>
        <v>1070685844753793024</v>
      </c>
      <c r="F2315" s="11" t="s">
        <v>5682</v>
      </c>
      <c r="G2315" s="12"/>
      <c r="H2315" s="12"/>
      <c r="I2315" s="13">
        <v>0</v>
      </c>
      <c r="J2315" s="13">
        <v>0</v>
      </c>
      <c r="K2315" s="14" t="str">
        <f t="shared" ref="K2315:K2316" si="404">HYPERLINK("http://twitter.com/download/android","Twitter for Android")</f>
        <v>Twitter for Android</v>
      </c>
      <c r="L2315" s="13">
        <v>2166</v>
      </c>
      <c r="M2315" s="13">
        <v>1164</v>
      </c>
      <c r="N2315" s="13">
        <v>145</v>
      </c>
      <c r="O2315" s="15"/>
      <c r="P2315" s="6">
        <v>41291.88417824074</v>
      </c>
      <c r="Q2315" s="16" t="s">
        <v>26</v>
      </c>
      <c r="R2315" s="17" t="s">
        <v>5127</v>
      </c>
      <c r="S2315" s="11" t="s">
        <v>5128</v>
      </c>
      <c r="T2315" s="12"/>
      <c r="U2315" s="10" t="str">
        <f>HYPERLINK("https://pbs.twimg.com/profile_images/1047569124220657664/Fmljmoqf.jpg","View")</f>
        <v>View</v>
      </c>
    </row>
    <row r="2316" spans="1:21" ht="51">
      <c r="A2316" s="6">
        <v>43440.642893518518</v>
      </c>
      <c r="B2316" s="7" t="str">
        <f>HYPERLINK("https://twitter.com/mmmbango","@mmmbango")</f>
        <v>@mmmbango</v>
      </c>
      <c r="C2316" s="8" t="s">
        <v>921</v>
      </c>
      <c r="D2316" s="9" t="s">
        <v>7619</v>
      </c>
      <c r="E2316" s="10" t="str">
        <f>HYPERLINK("https://twitter.com/mmmbango/status/1070685737731932161","1070685737731932161")</f>
        <v>1070685737731932161</v>
      </c>
      <c r="F2316" s="11" t="s">
        <v>7620</v>
      </c>
      <c r="G2316" s="12"/>
      <c r="H2316" s="12"/>
      <c r="I2316" s="13">
        <v>5</v>
      </c>
      <c r="J2316" s="13">
        <v>2</v>
      </c>
      <c r="K2316" s="14" t="str">
        <f t="shared" si="404"/>
        <v>Twitter for Android</v>
      </c>
      <c r="L2316" s="13">
        <v>6691</v>
      </c>
      <c r="M2316" s="13">
        <v>4488</v>
      </c>
      <c r="N2316" s="13">
        <v>69</v>
      </c>
      <c r="O2316" s="15"/>
      <c r="P2316" s="6">
        <v>41521.720983796295</v>
      </c>
      <c r="Q2316" s="16" t="s">
        <v>924</v>
      </c>
      <c r="R2316" s="17" t="s">
        <v>925</v>
      </c>
      <c r="S2316" s="11" t="s">
        <v>926</v>
      </c>
      <c r="T2316" s="12"/>
      <c r="U2316" s="10" t="str">
        <f>HYPERLINK("https://pbs.twimg.com/profile_images/855523465796964352/PuP44M-h.jpg","View")</f>
        <v>View</v>
      </c>
    </row>
    <row r="2317" spans="1:21" ht="40.799999999999997">
      <c r="A2317" s="6">
        <v>43440.642037037032</v>
      </c>
      <c r="B2317" s="7" t="str">
        <f>HYPERLINK("https://twitter.com/CarmenSanCarlos","@CarmenSanCarlos")</f>
        <v>@CarmenSanCarlos</v>
      </c>
      <c r="C2317" s="8" t="s">
        <v>5551</v>
      </c>
      <c r="D2317" s="9" t="s">
        <v>7006</v>
      </c>
      <c r="E2317" s="10" t="str">
        <f>HYPERLINK("https://twitter.com/CarmenSanCarlos/status/1070685424488734721","1070685424488734721")</f>
        <v>1070685424488734721</v>
      </c>
      <c r="F2317" s="11" t="s">
        <v>7008</v>
      </c>
      <c r="G2317" s="12"/>
      <c r="H2317" s="12"/>
      <c r="I2317" s="13">
        <v>1</v>
      </c>
      <c r="J2317" s="13">
        <v>1</v>
      </c>
      <c r="K2317" s="14" t="str">
        <f t="shared" ref="K2317:K2318" si="405">HYPERLINK("http://twitter.com","Twitter Web Client")</f>
        <v>Twitter Web Client</v>
      </c>
      <c r="L2317" s="13">
        <v>2786</v>
      </c>
      <c r="M2317" s="13">
        <v>2634</v>
      </c>
      <c r="N2317" s="13">
        <v>91</v>
      </c>
      <c r="O2317" s="15"/>
      <c r="P2317" s="6">
        <v>40079.761076388888</v>
      </c>
      <c r="Q2317" s="16" t="s">
        <v>1408</v>
      </c>
      <c r="R2317" s="17" t="s">
        <v>5553</v>
      </c>
      <c r="S2317" s="12"/>
      <c r="T2317" s="12"/>
      <c r="U2317" s="10" t="str">
        <f>HYPERLINK("https://pbs.twimg.com/profile_images/718568456614875136/UFn3eHCb.jpg","View")</f>
        <v>View</v>
      </c>
    </row>
    <row r="2318" spans="1:21" ht="30.6">
      <c r="A2318" s="6">
        <v>43440.641250000001</v>
      </c>
      <c r="B2318" s="7" t="str">
        <f>HYPERLINK("https://twitter.com/eljukebox","@eljukebox")</f>
        <v>@eljukebox</v>
      </c>
      <c r="C2318" s="8" t="s">
        <v>7621</v>
      </c>
      <c r="D2318" s="9" t="s">
        <v>7622</v>
      </c>
      <c r="E2318" s="10" t="str">
        <f>HYPERLINK("https://twitter.com/eljukebox/status/1070685139057790976","1070685139057790976")</f>
        <v>1070685139057790976</v>
      </c>
      <c r="F2318" s="12"/>
      <c r="G2318" s="12"/>
      <c r="H2318" s="12"/>
      <c r="I2318" s="13">
        <v>0</v>
      </c>
      <c r="J2318" s="13">
        <v>1</v>
      </c>
      <c r="K2318" s="14" t="str">
        <f t="shared" si="405"/>
        <v>Twitter Web Client</v>
      </c>
      <c r="L2318" s="13">
        <v>6091</v>
      </c>
      <c r="M2318" s="13">
        <v>1015</v>
      </c>
      <c r="N2318" s="13">
        <v>193</v>
      </c>
      <c r="O2318" s="15"/>
      <c r="P2318" s="6">
        <v>40283.703136574077</v>
      </c>
      <c r="Q2318" s="16" t="s">
        <v>7623</v>
      </c>
      <c r="R2318" s="17" t="s">
        <v>7624</v>
      </c>
      <c r="S2318" s="11" t="s">
        <v>7625</v>
      </c>
      <c r="T2318" s="12"/>
      <c r="U2318" s="10" t="str">
        <f>HYPERLINK("https://pbs.twimg.com/profile_images/1022116437526278148/Wgi7Nf9O.jpg","View")</f>
        <v>View</v>
      </c>
    </row>
    <row r="2319" spans="1:21" ht="20.399999999999999">
      <c r="A2319" s="6">
        <v>43440.641053240739</v>
      </c>
      <c r="B2319" s="7" t="str">
        <f>HYPERLINK("https://twitter.com/SomosTF","@SomosTF")</f>
        <v>@SomosTF</v>
      </c>
      <c r="C2319" s="8" t="s">
        <v>7626</v>
      </c>
      <c r="D2319" s="9" t="s">
        <v>7613</v>
      </c>
      <c r="E2319" s="10" t="str">
        <f>HYPERLINK("https://twitter.com/SomosTF/status/1070685069595963393","1070685069595963393")</f>
        <v>1070685069595963393</v>
      </c>
      <c r="F2319" s="11" t="s">
        <v>7627</v>
      </c>
      <c r="G2319" s="11" t="s">
        <v>7628</v>
      </c>
      <c r="H2319" s="12"/>
      <c r="I2319" s="13">
        <v>0</v>
      </c>
      <c r="J2319" s="13">
        <v>2</v>
      </c>
      <c r="K2319" s="14" t="str">
        <f>HYPERLINK("https://dlvrit.com/","dlvr.it")</f>
        <v>dlvr.it</v>
      </c>
      <c r="L2319" s="13">
        <v>2602</v>
      </c>
      <c r="M2319" s="13">
        <v>408</v>
      </c>
      <c r="N2319" s="13">
        <v>20</v>
      </c>
      <c r="O2319" s="15"/>
      <c r="P2319" s="6">
        <v>42487.745462962965</v>
      </c>
      <c r="Q2319" s="16" t="s">
        <v>7629</v>
      </c>
      <c r="R2319" s="17" t="s">
        <v>7630</v>
      </c>
      <c r="S2319" s="12"/>
      <c r="T2319" s="12"/>
      <c r="U2319" s="10" t="str">
        <f>HYPERLINK("https://pbs.twimg.com/profile_images/730376160002068480/1BXGst_m.jpg","View")</f>
        <v>View</v>
      </c>
    </row>
    <row r="2320" spans="1:21" ht="30.6">
      <c r="A2320" s="6">
        <v>43440.63994212963</v>
      </c>
      <c r="B2320" s="7" t="str">
        <f>HYPERLINK("https://twitter.com/crissmendez21","@crissmendez21")</f>
        <v>@crissmendez21</v>
      </c>
      <c r="C2320" s="8" t="s">
        <v>7631</v>
      </c>
      <c r="D2320" s="9" t="s">
        <v>7632</v>
      </c>
      <c r="E2320" s="10" t="str">
        <f>HYPERLINK("https://twitter.com/crissmendez21/status/1070684665433022465","1070684665433022465")</f>
        <v>1070684665433022465</v>
      </c>
      <c r="F2320" s="12"/>
      <c r="G2320" s="12"/>
      <c r="H2320" s="12"/>
      <c r="I2320" s="13">
        <v>1</v>
      </c>
      <c r="J2320" s="13">
        <v>0</v>
      </c>
      <c r="K2320" s="14" t="str">
        <f>HYPERLINK("http://twitter.com/download/iphone","Twitter for iPhone")</f>
        <v>Twitter for iPhone</v>
      </c>
      <c r="L2320" s="13">
        <v>240</v>
      </c>
      <c r="M2320" s="13">
        <v>362</v>
      </c>
      <c r="N2320" s="13">
        <v>0</v>
      </c>
      <c r="O2320" s="15"/>
      <c r="P2320" s="6">
        <v>42442.64335648148</v>
      </c>
      <c r="Q2320" s="16" t="s">
        <v>7633</v>
      </c>
      <c r="R2320" s="17" t="s">
        <v>7634</v>
      </c>
      <c r="S2320" s="12"/>
      <c r="T2320" s="12"/>
      <c r="U2320" s="10" t="str">
        <f>HYPERLINK("https://pbs.twimg.com/profile_images/908010265073143813/N1ODK90B.jpg","View")</f>
        <v>View</v>
      </c>
    </row>
    <row r="2321" spans="1:21" ht="40.799999999999997">
      <c r="A2321" s="6">
        <v>43440.63894675926</v>
      </c>
      <c r="B2321" s="7" t="str">
        <f>HYPERLINK("https://twitter.com/lextresabogados","@lextresabogados")</f>
        <v>@lextresabogados</v>
      </c>
      <c r="C2321" s="8" t="s">
        <v>226</v>
      </c>
      <c r="D2321" s="9" t="s">
        <v>7251</v>
      </c>
      <c r="E2321" s="10" t="str">
        <f>HYPERLINK("https://twitter.com/lextresabogados/status/1070684305964322816","1070684305964322816")</f>
        <v>1070684305964322816</v>
      </c>
      <c r="F2321" s="11" t="s">
        <v>7635</v>
      </c>
      <c r="G2321" s="12"/>
      <c r="H2321" s="12"/>
      <c r="I2321" s="13">
        <v>1</v>
      </c>
      <c r="J2321" s="13">
        <v>1</v>
      </c>
      <c r="K2321" s="14" t="str">
        <f>HYPERLINK("http://35.180.36.179","botize nueva")</f>
        <v>botize nueva</v>
      </c>
      <c r="L2321" s="13">
        <v>2912</v>
      </c>
      <c r="M2321" s="13">
        <v>3525</v>
      </c>
      <c r="N2321" s="13">
        <v>26</v>
      </c>
      <c r="O2321" s="15"/>
      <c r="P2321" s="6">
        <v>42880.770949074074</v>
      </c>
      <c r="Q2321" s="16" t="s">
        <v>230</v>
      </c>
      <c r="R2321" s="17" t="s">
        <v>231</v>
      </c>
      <c r="S2321" s="11" t="s">
        <v>232</v>
      </c>
      <c r="T2321" s="12"/>
      <c r="U2321" s="10" t="str">
        <f>HYPERLINK("https://pbs.twimg.com/profile_images/1068056978679898113/YnjKwiVy.jpg","View")</f>
        <v>View</v>
      </c>
    </row>
    <row r="2322" spans="1:21" ht="20.399999999999999">
      <c r="A2322" s="6">
        <v>43440.638935185183</v>
      </c>
      <c r="B2322" s="7" t="str">
        <f>HYPERLINK("https://twitter.com/v_arribas","@v_arribas")</f>
        <v>@v_arribas</v>
      </c>
      <c r="C2322" s="8" t="s">
        <v>7636</v>
      </c>
      <c r="D2322" s="9" t="s">
        <v>7637</v>
      </c>
      <c r="E2322" s="10" t="str">
        <f>HYPERLINK("https://twitter.com/v_arribas/status/1070684301811806208","1070684301811806208")</f>
        <v>1070684301811806208</v>
      </c>
      <c r="F2322" s="11" t="s">
        <v>6731</v>
      </c>
      <c r="G2322" s="12"/>
      <c r="H2322" s="12"/>
      <c r="I2322" s="13">
        <v>40</v>
      </c>
      <c r="J2322" s="13">
        <v>99</v>
      </c>
      <c r="K2322" s="14" t="str">
        <f>HYPERLINK("http://twitter.com/download/iphone","Twitter for iPhone")</f>
        <v>Twitter for iPhone</v>
      </c>
      <c r="L2322" s="13">
        <v>15488</v>
      </c>
      <c r="M2322" s="13">
        <v>1202</v>
      </c>
      <c r="N2322" s="13">
        <v>243</v>
      </c>
      <c r="O2322" s="15"/>
      <c r="P2322" s="6">
        <v>40919.934236111112</v>
      </c>
      <c r="Q2322" s="12"/>
      <c r="R2322" s="17" t="s">
        <v>7638</v>
      </c>
      <c r="S2322" s="12"/>
      <c r="T2322" s="12"/>
      <c r="U2322" s="10" t="str">
        <f>HYPERLINK("https://pbs.twimg.com/profile_images/903309429029969921/B_TXBe7_.jpg","View")</f>
        <v>View</v>
      </c>
    </row>
    <row r="2323" spans="1:21" ht="51">
      <c r="A2323" s="6">
        <v>43440.638217592597</v>
      </c>
      <c r="B2323" s="7" t="str">
        <f>HYPERLINK("https://twitter.com/caval100","@caval100")</f>
        <v>@caval100</v>
      </c>
      <c r="C2323" s="8" t="s">
        <v>501</v>
      </c>
      <c r="D2323" s="9" t="s">
        <v>6159</v>
      </c>
      <c r="E2323" s="10" t="str">
        <f>HYPERLINK("https://twitter.com/caval100/status/1070684043140845568","1070684043140845568")</f>
        <v>1070684043140845568</v>
      </c>
      <c r="F2323" s="11" t="s">
        <v>4366</v>
      </c>
      <c r="G2323" s="12"/>
      <c r="H2323" s="12"/>
      <c r="I2323" s="13">
        <v>0</v>
      </c>
      <c r="J2323" s="13">
        <v>1</v>
      </c>
      <c r="K2323" s="14" t="str">
        <f>HYPERLINK("http://twitter.com","Twitter Web Client")</f>
        <v>Twitter Web Client</v>
      </c>
      <c r="L2323" s="13">
        <v>119343</v>
      </c>
      <c r="M2323" s="13">
        <v>94000</v>
      </c>
      <c r="N2323" s="13">
        <v>982</v>
      </c>
      <c r="O2323" s="15"/>
      <c r="P2323" s="6">
        <v>40079.437094907407</v>
      </c>
      <c r="Q2323" s="16" t="s">
        <v>505</v>
      </c>
      <c r="R2323" s="17" t="s">
        <v>506</v>
      </c>
      <c r="S2323" s="11" t="s">
        <v>507</v>
      </c>
      <c r="T2323" s="12"/>
      <c r="U2323" s="10" t="str">
        <f>HYPERLINK("https://pbs.twimg.com/profile_images/965350678301429760/uvGI7g8U.jpg","View")</f>
        <v>View</v>
      </c>
    </row>
    <row r="2324" spans="1:21" ht="20.399999999999999">
      <c r="A2324" s="6">
        <v>43440.637499999997</v>
      </c>
      <c r="B2324" s="7" t="str">
        <f>HYPERLINK("https://twitter.com/elconfidencial","@elconfidencial")</f>
        <v>@elconfidencial</v>
      </c>
      <c r="C2324" s="8" t="s">
        <v>542</v>
      </c>
      <c r="D2324" s="9" t="s">
        <v>7251</v>
      </c>
      <c r="E2324" s="10" t="str">
        <f>HYPERLINK("https://twitter.com/elconfidencial/status/1070683780942364672","1070683780942364672")</f>
        <v>1070683780942364672</v>
      </c>
      <c r="F2324" s="11" t="s">
        <v>7635</v>
      </c>
      <c r="G2324" s="12"/>
      <c r="H2324" s="12"/>
      <c r="I2324" s="13">
        <v>7</v>
      </c>
      <c r="J2324" s="13">
        <v>11</v>
      </c>
      <c r="K2324" s="14" t="str">
        <f>HYPERLINK("https://about.twitter.com/products/tweetdeck","TweetDeck")</f>
        <v>TweetDeck</v>
      </c>
      <c r="L2324" s="13">
        <v>765914</v>
      </c>
      <c r="M2324" s="13">
        <v>183</v>
      </c>
      <c r="N2324" s="13">
        <v>11126</v>
      </c>
      <c r="O2324" s="18" t="s">
        <v>41</v>
      </c>
      <c r="P2324" s="6">
        <v>39759.468657407408</v>
      </c>
      <c r="Q2324" s="16" t="s">
        <v>544</v>
      </c>
      <c r="R2324" s="17" t="s">
        <v>545</v>
      </c>
      <c r="S2324" s="11" t="s">
        <v>422</v>
      </c>
      <c r="T2324" s="12"/>
      <c r="U2324" s="10" t="str">
        <f>HYPERLINK("https://pbs.twimg.com/profile_images/831498645476356097/TVsVGq4W.jpg","View")</f>
        <v>View</v>
      </c>
    </row>
    <row r="2325" spans="1:21" ht="40.799999999999997">
      <c r="A2325" s="6">
        <v>43440.636759259258</v>
      </c>
      <c r="B2325" s="7" t="str">
        <f>HYPERLINK("https://twitter.com/roblebgp","@roblebgp")</f>
        <v>@roblebgp</v>
      </c>
      <c r="C2325" s="8" t="s">
        <v>2876</v>
      </c>
      <c r="D2325" s="9" t="s">
        <v>5252</v>
      </c>
      <c r="E2325" s="10" t="str">
        <f>HYPERLINK("https://twitter.com/roblebgp/status/1070683512649465858","1070683512649465858")</f>
        <v>1070683512649465858</v>
      </c>
      <c r="F2325" s="11" t="s">
        <v>5253</v>
      </c>
      <c r="G2325" s="12"/>
      <c r="H2325" s="12"/>
      <c r="I2325" s="13">
        <v>0</v>
      </c>
      <c r="J2325" s="13">
        <v>0</v>
      </c>
      <c r="K2325" s="14" t="str">
        <f>HYPERLINK("http://twitter.com","Twitter Web Client")</f>
        <v>Twitter Web Client</v>
      </c>
      <c r="L2325" s="13">
        <v>1454</v>
      </c>
      <c r="M2325" s="13">
        <v>1549</v>
      </c>
      <c r="N2325" s="13">
        <v>3</v>
      </c>
      <c r="O2325" s="15"/>
      <c r="P2325" s="6">
        <v>41230.753240740742</v>
      </c>
      <c r="Q2325" s="16" t="s">
        <v>60</v>
      </c>
      <c r="R2325" s="17" t="s">
        <v>2877</v>
      </c>
      <c r="S2325" s="11" t="s">
        <v>2878</v>
      </c>
      <c r="T2325" s="12"/>
      <c r="U2325" s="10" t="str">
        <f>HYPERLINK("https://pbs.twimg.com/profile_images/1007592003629191168/Px2iHzbR.jpg","View")</f>
        <v>View</v>
      </c>
    </row>
    <row r="2326" spans="1:21" ht="20.399999999999999">
      <c r="A2326" s="6">
        <v>43440.636504629627</v>
      </c>
      <c r="B2326" s="7" t="str">
        <f>HYPERLINK("https://twitter.com/ChanChave","@ChanChave")</f>
        <v>@ChanChave</v>
      </c>
      <c r="C2326" s="8" t="s">
        <v>3669</v>
      </c>
      <c r="D2326" s="9" t="s">
        <v>3169</v>
      </c>
      <c r="E2326" s="10" t="str">
        <f>HYPERLINK("https://twitter.com/ChanChave/status/1070683421209436165","1070683421209436165")</f>
        <v>1070683421209436165</v>
      </c>
      <c r="F2326" s="11" t="s">
        <v>432</v>
      </c>
      <c r="G2326" s="12"/>
      <c r="H2326" s="12"/>
      <c r="I2326" s="13">
        <v>6</v>
      </c>
      <c r="J2326" s="13">
        <v>5</v>
      </c>
      <c r="K2326" s="14" t="str">
        <f>HYPERLINK("http://twitter.com/download/android","Twitter for Android")</f>
        <v>Twitter for Android</v>
      </c>
      <c r="L2326" s="13">
        <v>1534</v>
      </c>
      <c r="M2326" s="13">
        <v>1767</v>
      </c>
      <c r="N2326" s="13">
        <v>29</v>
      </c>
      <c r="O2326" s="15"/>
      <c r="P2326" s="6">
        <v>41330.770277777774</v>
      </c>
      <c r="Q2326" s="16" t="s">
        <v>26</v>
      </c>
      <c r="R2326" s="17" t="s">
        <v>3670</v>
      </c>
      <c r="S2326" s="12"/>
      <c r="T2326" s="12"/>
      <c r="U2326" s="10" t="str">
        <f>HYPERLINK("https://pbs.twimg.com/profile_images/799293272120295424/ANV4MoWm.jpg","View")</f>
        <v>View</v>
      </c>
    </row>
    <row r="2327" spans="1:21" ht="30.6">
      <c r="A2327" s="6">
        <v>43440.63548611111</v>
      </c>
      <c r="B2327" s="7" t="str">
        <f>HYPERLINK("https://twitter.com/Pedro_Castro","@Pedro_Castro")</f>
        <v>@Pedro_Castro</v>
      </c>
      <c r="C2327" s="8" t="s">
        <v>140</v>
      </c>
      <c r="D2327" s="9" t="s">
        <v>2213</v>
      </c>
      <c r="E2327" s="10" t="str">
        <f>HYPERLINK("https://twitter.com/Pedro_Castro/status/1070683050776907776","1070683050776907776")</f>
        <v>1070683050776907776</v>
      </c>
      <c r="F2327" s="11" t="s">
        <v>2214</v>
      </c>
      <c r="G2327" s="12"/>
      <c r="H2327" s="12"/>
      <c r="I2327" s="13">
        <v>0</v>
      </c>
      <c r="J2327" s="13">
        <v>0</v>
      </c>
      <c r="K2327" s="14" t="str">
        <f>HYPERLINK("http://twitter.com","Twitter Web Client")</f>
        <v>Twitter Web Client</v>
      </c>
      <c r="L2327" s="13">
        <v>12369</v>
      </c>
      <c r="M2327" s="13">
        <v>5931</v>
      </c>
      <c r="N2327" s="13">
        <v>412</v>
      </c>
      <c r="O2327" s="15"/>
      <c r="P2327" s="6">
        <v>39811.502395833333</v>
      </c>
      <c r="Q2327" s="16" t="s">
        <v>144</v>
      </c>
      <c r="R2327" s="17" t="s">
        <v>145</v>
      </c>
      <c r="S2327" s="11" t="s">
        <v>146</v>
      </c>
      <c r="T2327" s="12"/>
      <c r="U2327" s="10" t="str">
        <f>HYPERLINK("https://pbs.twimg.com/profile_images/1423190616/203177_1104736911_528524_n2.jpg","View")</f>
        <v>View</v>
      </c>
    </row>
    <row r="2328" spans="1:21" ht="30.6">
      <c r="A2328" s="6">
        <v>43440.635451388887</v>
      </c>
      <c r="B2328" s="7" t="str">
        <f>HYPERLINK("https://twitter.com/enpaiszeta","@enpaiszeta")</f>
        <v>@enpaiszeta</v>
      </c>
      <c r="C2328" s="8" t="s">
        <v>5797</v>
      </c>
      <c r="D2328" s="9" t="s">
        <v>5798</v>
      </c>
      <c r="E2328" s="10" t="str">
        <f>HYPERLINK("https://twitter.com/enpaiszeta/status/1070683039410343937","1070683039410343937")</f>
        <v>1070683039410343937</v>
      </c>
      <c r="F2328" s="11" t="s">
        <v>5799</v>
      </c>
      <c r="G2328" s="11" t="s">
        <v>7032</v>
      </c>
      <c r="H2328" s="12"/>
      <c r="I2328" s="13">
        <v>3</v>
      </c>
      <c r="J2328" s="13">
        <v>9</v>
      </c>
      <c r="K2328" s="14" t="str">
        <f>HYPERLINK("https://www.socialgest.net","SocialGest")</f>
        <v>SocialGest</v>
      </c>
      <c r="L2328" s="13">
        <v>195618</v>
      </c>
      <c r="M2328" s="13">
        <v>1590</v>
      </c>
      <c r="N2328" s="13">
        <v>1043</v>
      </c>
      <c r="O2328" s="15"/>
      <c r="P2328" s="6">
        <v>40377.917337962965</v>
      </c>
      <c r="Q2328" s="16" t="s">
        <v>5801</v>
      </c>
      <c r="R2328" s="17" t="s">
        <v>5802</v>
      </c>
      <c r="S2328" s="11" t="s">
        <v>5803</v>
      </c>
      <c r="T2328" s="12"/>
      <c r="U2328" s="10" t="str">
        <f>HYPERLINK("https://pbs.twimg.com/profile_images/986324076628193280/tIK_X8wZ.jpg","View")</f>
        <v>View</v>
      </c>
    </row>
    <row r="2329" spans="1:21" ht="20.399999999999999">
      <c r="A2329" s="6">
        <v>43440.635347222225</v>
      </c>
      <c r="B2329" s="7" t="str">
        <f>HYPERLINK("https://twitter.com/MariaFlorBlanco","@MariaFlorBlanco")</f>
        <v>@MariaFlorBlanco</v>
      </c>
      <c r="C2329" s="8" t="s">
        <v>7639</v>
      </c>
      <c r="D2329" s="9" t="s">
        <v>5252</v>
      </c>
      <c r="E2329" s="10" t="str">
        <f>HYPERLINK("https://twitter.com/MariaFlorBlanco/status/1070683003117060098","1070683003117060098")</f>
        <v>1070683003117060098</v>
      </c>
      <c r="F2329" s="11" t="s">
        <v>5253</v>
      </c>
      <c r="G2329" s="12"/>
      <c r="H2329" s="12"/>
      <c r="I2329" s="13">
        <v>0</v>
      </c>
      <c r="J2329" s="13">
        <v>0</v>
      </c>
      <c r="K2329" s="14" t="str">
        <f>HYPERLINK("http://twitter.com","Twitter Web Client")</f>
        <v>Twitter Web Client</v>
      </c>
      <c r="L2329" s="13">
        <v>1428</v>
      </c>
      <c r="M2329" s="13">
        <v>1070</v>
      </c>
      <c r="N2329" s="13">
        <v>19</v>
      </c>
      <c r="O2329" s="15"/>
      <c r="P2329" s="6">
        <v>41508.546365740738</v>
      </c>
      <c r="Q2329" s="16" t="s">
        <v>7640</v>
      </c>
      <c r="R2329" s="17" t="s">
        <v>7641</v>
      </c>
      <c r="S2329" s="12"/>
      <c r="T2329" s="12"/>
      <c r="U2329" s="10" t="str">
        <f>HYPERLINK("https://pbs.twimg.com/profile_images/378800000351757779/7543247ce828b4d990c92d91e2aec40b.jpeg","View")</f>
        <v>View</v>
      </c>
    </row>
    <row r="2330" spans="1:21" ht="51">
      <c r="A2330" s="6">
        <v>43440.635185185187</v>
      </c>
      <c r="B2330" s="7" t="str">
        <f>HYPERLINK("https://twitter.com/mmmbango","@mmmbango")</f>
        <v>@mmmbango</v>
      </c>
      <c r="C2330" s="8" t="s">
        <v>921</v>
      </c>
      <c r="D2330" s="9" t="s">
        <v>7642</v>
      </c>
      <c r="E2330" s="10" t="str">
        <f>HYPERLINK("https://twitter.com/mmmbango/status/1070682943859892224","1070682943859892224")</f>
        <v>1070682943859892224</v>
      </c>
      <c r="F2330" s="11" t="s">
        <v>7643</v>
      </c>
      <c r="G2330" s="12"/>
      <c r="H2330" s="12"/>
      <c r="I2330" s="13">
        <v>5</v>
      </c>
      <c r="J2330" s="13">
        <v>7</v>
      </c>
      <c r="K2330" s="14" t="str">
        <f>HYPERLINK("http://twitter.com/download/android","Twitter for Android")</f>
        <v>Twitter for Android</v>
      </c>
      <c r="L2330" s="13">
        <v>6691</v>
      </c>
      <c r="M2330" s="13">
        <v>4488</v>
      </c>
      <c r="N2330" s="13">
        <v>69</v>
      </c>
      <c r="O2330" s="15"/>
      <c r="P2330" s="6">
        <v>41521.720983796295</v>
      </c>
      <c r="Q2330" s="16" t="s">
        <v>924</v>
      </c>
      <c r="R2330" s="17" t="s">
        <v>925</v>
      </c>
      <c r="S2330" s="11" t="s">
        <v>926</v>
      </c>
      <c r="T2330" s="12"/>
      <c r="U2330" s="10" t="str">
        <f>HYPERLINK("https://pbs.twimg.com/profile_images/855523465796964352/PuP44M-h.jpg","View")</f>
        <v>View</v>
      </c>
    </row>
    <row r="2331" spans="1:21" ht="30.6">
      <c r="A2331" s="6">
        <v>43440.634641203702</v>
      </c>
      <c r="B2331" s="7" t="str">
        <f>HYPERLINK("https://twitter.com/uvives","@uvives")</f>
        <v>@uvives</v>
      </c>
      <c r="C2331" s="8" t="s">
        <v>7644</v>
      </c>
      <c r="D2331" s="9" t="s">
        <v>7645</v>
      </c>
      <c r="E2331" s="10" t="str">
        <f>HYPERLINK("https://twitter.com/uvives/status/1070682745381228544","1070682745381228544")</f>
        <v>1070682745381228544</v>
      </c>
      <c r="F2331" s="12"/>
      <c r="G2331" s="12"/>
      <c r="H2331" s="12"/>
      <c r="I2331" s="13">
        <v>0</v>
      </c>
      <c r="J2331" s="13">
        <v>1</v>
      </c>
      <c r="K2331" s="14" t="str">
        <f>HYPERLINK("http://twitter.com/download/iphone","Twitter for iPhone")</f>
        <v>Twitter for iPhone</v>
      </c>
      <c r="L2331" s="13">
        <v>146</v>
      </c>
      <c r="M2331" s="13">
        <v>429</v>
      </c>
      <c r="N2331" s="13">
        <v>4</v>
      </c>
      <c r="O2331" s="15"/>
      <c r="P2331" s="6">
        <v>40899.42496527778</v>
      </c>
      <c r="Q2331" s="12"/>
      <c r="R2331" s="17" t="s">
        <v>7646</v>
      </c>
      <c r="S2331" s="12"/>
      <c r="T2331" s="12"/>
      <c r="U2331" s="10" t="str">
        <f>HYPERLINK("https://pbs.twimg.com/profile_images/525284665922711552/oJUUuVBS.jpeg","View")</f>
        <v>View</v>
      </c>
    </row>
    <row r="2332" spans="1:21" ht="13.2">
      <c r="A2332" s="6">
        <v>43440.6330787037</v>
      </c>
      <c r="B2332" s="7" t="str">
        <f>HYPERLINK("https://twitter.com/FVaquerizo","@FVaquerizo")</f>
        <v>@FVaquerizo</v>
      </c>
      <c r="C2332" s="8" t="s">
        <v>7647</v>
      </c>
      <c r="D2332" s="9" t="s">
        <v>7648</v>
      </c>
      <c r="E2332" s="10" t="str">
        <f>HYPERLINK("https://twitter.com/FVaquerizo/status/1070682180521746436","1070682180521746436")</f>
        <v>1070682180521746436</v>
      </c>
      <c r="F2332" s="11" t="s">
        <v>7649</v>
      </c>
      <c r="G2332" s="12"/>
      <c r="H2332" s="12"/>
      <c r="I2332" s="13">
        <v>0</v>
      </c>
      <c r="J2332" s="13">
        <v>0</v>
      </c>
      <c r="K2332" s="14" t="str">
        <f>HYPERLINK("http://www.facebook.com/twitter","Facebook")</f>
        <v>Facebook</v>
      </c>
      <c r="L2332" s="13">
        <v>76</v>
      </c>
      <c r="M2332" s="13">
        <v>80</v>
      </c>
      <c r="N2332" s="13">
        <v>2</v>
      </c>
      <c r="O2332" s="15"/>
      <c r="P2332" s="6">
        <v>41167.73940972222</v>
      </c>
      <c r="Q2332" s="16" t="s">
        <v>7650</v>
      </c>
      <c r="R2332" s="17" t="s">
        <v>7651</v>
      </c>
      <c r="S2332" s="11" t="s">
        <v>7652</v>
      </c>
      <c r="T2332" s="12"/>
      <c r="U2332" s="10" t="str">
        <f>HYPERLINK("https://pbs.twimg.com/profile_images/848922855844741120/dnyK30pp.jpg","View")</f>
        <v>View</v>
      </c>
    </row>
    <row r="2333" spans="1:21" ht="40.799999999999997">
      <c r="A2333" s="6">
        <v>43440.632638888885</v>
      </c>
      <c r="B2333" s="7" t="str">
        <f>HYPERLINK("https://twitter.com/JoLRubio","@JoLRubio")</f>
        <v>@JoLRubio</v>
      </c>
      <c r="C2333" s="8" t="s">
        <v>7653</v>
      </c>
      <c r="D2333" s="9" t="s">
        <v>7654</v>
      </c>
      <c r="E2333" s="10" t="str">
        <f>HYPERLINK("https://twitter.com/JoLRubio/status/1070682019292684290","1070682019292684290")</f>
        <v>1070682019292684290</v>
      </c>
      <c r="F2333" s="12"/>
      <c r="G2333" s="12"/>
      <c r="H2333" s="12"/>
      <c r="I2333" s="13">
        <v>1</v>
      </c>
      <c r="J2333" s="13">
        <v>4</v>
      </c>
      <c r="K2333" s="14" t="str">
        <f>HYPERLINK("http://twitter.com/download/android","Twitter for Android")</f>
        <v>Twitter for Android</v>
      </c>
      <c r="L2333" s="13">
        <v>4082</v>
      </c>
      <c r="M2333" s="13">
        <v>3948</v>
      </c>
      <c r="N2333" s="13">
        <v>22</v>
      </c>
      <c r="O2333" s="15"/>
      <c r="P2333" s="6">
        <v>40622.391562500001</v>
      </c>
      <c r="Q2333" s="12"/>
      <c r="R2333" s="17" t="s">
        <v>7655</v>
      </c>
      <c r="S2333" s="12"/>
      <c r="T2333" s="12"/>
      <c r="U2333" s="10" t="str">
        <f>HYPERLINK("https://pbs.twimg.com/profile_images/2988427220/2c6b8fa6786e5dac9cf4b39437d751e9.jpeg","View")</f>
        <v>View</v>
      </c>
    </row>
    <row r="2334" spans="1:21" ht="40.799999999999997">
      <c r="A2334" s="6">
        <v>43440.632407407407</v>
      </c>
      <c r="B2334" s="7" t="str">
        <f>HYPERLINK("https://twitter.com/BichoFurioso","@BichoFurioso")</f>
        <v>@BichoFurioso</v>
      </c>
      <c r="C2334" s="8" t="s">
        <v>7656</v>
      </c>
      <c r="D2334" s="9" t="s">
        <v>7657</v>
      </c>
      <c r="E2334" s="10" t="str">
        <f>HYPERLINK("https://twitter.com/BichoFurioso/status/1070681937210163200","1070681937210163200")</f>
        <v>1070681937210163200</v>
      </c>
      <c r="F2334" s="12"/>
      <c r="G2334" s="12"/>
      <c r="H2334" s="12"/>
      <c r="I2334" s="13">
        <v>0</v>
      </c>
      <c r="J2334" s="13">
        <v>0</v>
      </c>
      <c r="K2334" s="14" t="str">
        <f>HYPERLINK("http://twitter.com","Twitter Web Client")</f>
        <v>Twitter Web Client</v>
      </c>
      <c r="L2334" s="13">
        <v>646</v>
      </c>
      <c r="M2334" s="13">
        <v>480</v>
      </c>
      <c r="N2334" s="13">
        <v>0</v>
      </c>
      <c r="O2334" s="15"/>
      <c r="P2334" s="6">
        <v>43040.411377314813</v>
      </c>
      <c r="Q2334" s="16" t="s">
        <v>7658</v>
      </c>
      <c r="R2334" s="17" t="s">
        <v>7659</v>
      </c>
      <c r="S2334" s="12"/>
      <c r="T2334" s="12"/>
      <c r="U2334" s="10" t="str">
        <f>HYPERLINK("https://pbs.twimg.com/profile_images/989094360359882752/aYV-jCjw.jpg","View")</f>
        <v>View</v>
      </c>
    </row>
    <row r="2335" spans="1:21" ht="40.799999999999997">
      <c r="A2335" s="6">
        <v>43440.632118055553</v>
      </c>
      <c r="B2335" s="7" t="str">
        <f>HYPERLINK("https://twitter.com/bcnviafora_eng","@bcnviafora_eng")</f>
        <v>@bcnviafora_eng</v>
      </c>
      <c r="C2335" s="8" t="s">
        <v>7660</v>
      </c>
      <c r="D2335" s="9" t="s">
        <v>7661</v>
      </c>
      <c r="E2335" s="10" t="str">
        <f>HYPERLINK("https://twitter.com/bcnviafora_eng/status/1070681831748583424","1070681831748583424")</f>
        <v>1070681831748583424</v>
      </c>
      <c r="F2335" s="11" t="s">
        <v>7662</v>
      </c>
      <c r="G2335" s="12"/>
      <c r="H2335" s="12"/>
      <c r="I2335" s="13">
        <v>9</v>
      </c>
      <c r="J2335" s="13">
        <v>7</v>
      </c>
      <c r="K2335" s="14" t="str">
        <f>HYPERLINK("http://twitter.com/download/android","Twitter for Android")</f>
        <v>Twitter for Android</v>
      </c>
      <c r="L2335" s="13">
        <v>2286</v>
      </c>
      <c r="M2335" s="13">
        <v>2263</v>
      </c>
      <c r="N2335" s="13">
        <v>9</v>
      </c>
      <c r="O2335" s="15"/>
      <c r="P2335" s="6">
        <v>43099.342789351853</v>
      </c>
      <c r="Q2335" s="16" t="s">
        <v>87</v>
      </c>
      <c r="R2335" s="17" t="s">
        <v>7663</v>
      </c>
      <c r="S2335" s="11" t="s">
        <v>7664</v>
      </c>
      <c r="T2335" s="12"/>
      <c r="U2335" s="10" t="str">
        <f>HYPERLINK("https://pbs.twimg.com/profile_images/958428619025641473/g1Thw2Sd.jpg","View")</f>
        <v>View</v>
      </c>
    </row>
    <row r="2336" spans="1:21" ht="20.399999999999999">
      <c r="A2336" s="6">
        <v>43440.631238425922</v>
      </c>
      <c r="B2336" s="7" t="str">
        <f>HYPERLINK("https://twitter.com/EspanaActual","@EspanaActual")</f>
        <v>@EspanaActual</v>
      </c>
      <c r="C2336" s="8" t="s">
        <v>399</v>
      </c>
      <c r="D2336" s="9" t="s">
        <v>5235</v>
      </c>
      <c r="E2336" s="10" t="str">
        <f>HYPERLINK("https://twitter.com/EspanaActual/status/1070681512763420672","1070681512763420672")</f>
        <v>1070681512763420672</v>
      </c>
      <c r="F2336" s="11" t="s">
        <v>4639</v>
      </c>
      <c r="G2336" s="12"/>
      <c r="H2336" s="12"/>
      <c r="I2336" s="13">
        <v>0</v>
      </c>
      <c r="J2336" s="13">
        <v>0</v>
      </c>
      <c r="K2336" s="14" t="str">
        <f>HYPERLINK("http://www.wonderland.fm/","wonderland.fm")</f>
        <v>wonderland.fm</v>
      </c>
      <c r="L2336" s="13">
        <v>255</v>
      </c>
      <c r="M2336" s="13">
        <v>0</v>
      </c>
      <c r="N2336" s="13">
        <v>5</v>
      </c>
      <c r="O2336" s="15"/>
      <c r="P2336" s="6">
        <v>41357.845486111109</v>
      </c>
      <c r="Q2336" s="16" t="s">
        <v>60</v>
      </c>
      <c r="R2336" s="17" t="s">
        <v>402</v>
      </c>
      <c r="S2336" s="12"/>
      <c r="T2336" s="12"/>
      <c r="U2336" s="10" t="str">
        <f>HYPERLINK("https://pbs.twimg.com/profile_images/745695516982378496/lAlJBkNT.jpg","View")</f>
        <v>View</v>
      </c>
    </row>
    <row r="2337" spans="1:21" ht="20.399999999999999">
      <c r="A2337" s="6">
        <v>43440.629652777774</v>
      </c>
      <c r="B2337" s="7" t="str">
        <f>HYPERLINK("https://twitter.com/estiletes","@estiletes")</f>
        <v>@estiletes</v>
      </c>
      <c r="C2337" s="8" t="s">
        <v>7665</v>
      </c>
      <c r="D2337" s="9" t="s">
        <v>7666</v>
      </c>
      <c r="E2337" s="10" t="str">
        <f>HYPERLINK("https://twitter.com/estiletes/status/1070680939649474561","1070680939649474561")</f>
        <v>1070680939649474561</v>
      </c>
      <c r="F2337" s="11" t="s">
        <v>7550</v>
      </c>
      <c r="G2337" s="12"/>
      <c r="H2337" s="12"/>
      <c r="I2337" s="13">
        <v>0</v>
      </c>
      <c r="J2337" s="13">
        <v>0</v>
      </c>
      <c r="K2337" s="14" t="str">
        <f>HYPERLINK("http://twitter.com","Twitter Web Client")</f>
        <v>Twitter Web Client</v>
      </c>
      <c r="L2337" s="13">
        <v>1753</v>
      </c>
      <c r="M2337" s="13">
        <v>1964</v>
      </c>
      <c r="N2337" s="13">
        <v>37</v>
      </c>
      <c r="O2337" s="15"/>
      <c r="P2337" s="6">
        <v>40724.800023148149</v>
      </c>
      <c r="Q2337" s="16" t="s">
        <v>60</v>
      </c>
      <c r="R2337" s="17" t="s">
        <v>7667</v>
      </c>
      <c r="S2337" s="12"/>
      <c r="T2337" s="12"/>
      <c r="U2337" s="10" t="str">
        <f>HYPERLINK("https://pbs.twimg.com/profile_images/2988347953/ddd2cde6af73b93085fd7bcf1d4a68da.png","View")</f>
        <v>View</v>
      </c>
    </row>
    <row r="2338" spans="1:21" ht="20.399999999999999">
      <c r="A2338" s="6">
        <v>43440.628587962958</v>
      </c>
      <c r="B2338" s="7" t="str">
        <f>HYPERLINK("https://twitter.com/Castigator_22","@Castigator_22")</f>
        <v>@Castigator_22</v>
      </c>
      <c r="C2338" s="8" t="s">
        <v>7668</v>
      </c>
      <c r="D2338" s="9" t="s">
        <v>5013</v>
      </c>
      <c r="E2338" s="10" t="str">
        <f>HYPERLINK("https://twitter.com/Castigator_22/status/1070680553941295104","1070680553941295104")</f>
        <v>1070680553941295104</v>
      </c>
      <c r="F2338" s="11" t="s">
        <v>398</v>
      </c>
      <c r="G2338" s="12"/>
      <c r="H2338" s="12"/>
      <c r="I2338" s="13">
        <v>0</v>
      </c>
      <c r="J2338" s="13">
        <v>0</v>
      </c>
      <c r="K2338" s="14" t="str">
        <f>HYPERLINK("http://twitter.com/download/android","Twitter for Android")</f>
        <v>Twitter for Android</v>
      </c>
      <c r="L2338" s="13">
        <v>9</v>
      </c>
      <c r="M2338" s="13">
        <v>64</v>
      </c>
      <c r="N2338" s="13">
        <v>0</v>
      </c>
      <c r="O2338" s="15"/>
      <c r="P2338" s="6">
        <v>43235.385567129633</v>
      </c>
      <c r="Q2338" s="16" t="s">
        <v>7669</v>
      </c>
      <c r="R2338" s="17" t="s">
        <v>7670</v>
      </c>
      <c r="S2338" s="12"/>
      <c r="T2338" s="12"/>
      <c r="U2338" s="10" t="str">
        <f>HYPERLINK("https://pbs.twimg.com/profile_images/996289740482768896/7rCKe9n6.jpg","View")</f>
        <v>View</v>
      </c>
    </row>
    <row r="2339" spans="1:21" ht="40.799999999999997">
      <c r="A2339" s="6">
        <v>43440.628055555557</v>
      </c>
      <c r="B2339" s="7" t="str">
        <f>HYPERLINK("https://twitter.com/izzyemilio","@izzyemilio")</f>
        <v>@izzyemilio</v>
      </c>
      <c r="C2339" s="8" t="s">
        <v>7671</v>
      </c>
      <c r="D2339" s="9" t="s">
        <v>5252</v>
      </c>
      <c r="E2339" s="10" t="str">
        <f>HYPERLINK("https://twitter.com/izzyemilio/status/1070680358188957697","1070680358188957697")</f>
        <v>1070680358188957697</v>
      </c>
      <c r="F2339" s="11" t="s">
        <v>5253</v>
      </c>
      <c r="G2339" s="12"/>
      <c r="H2339" s="12"/>
      <c r="I2339" s="13">
        <v>0</v>
      </c>
      <c r="J2339" s="13">
        <v>0</v>
      </c>
      <c r="K2339" s="14" t="str">
        <f>HYPERLINK("http://twitter.com","Twitter Web Client")</f>
        <v>Twitter Web Client</v>
      </c>
      <c r="L2339" s="13">
        <v>1063</v>
      </c>
      <c r="M2339" s="13">
        <v>1026</v>
      </c>
      <c r="N2339" s="13">
        <v>24</v>
      </c>
      <c r="O2339" s="15"/>
      <c r="P2339" s="6">
        <v>40632.28496527778</v>
      </c>
      <c r="Q2339" s="16" t="s">
        <v>7672</v>
      </c>
      <c r="R2339" s="17" t="s">
        <v>7673</v>
      </c>
      <c r="S2339" s="11" t="s">
        <v>7674</v>
      </c>
      <c r="T2339" s="12"/>
      <c r="U2339" s="10" t="str">
        <f>HYPERLINK("https://pbs.twimg.com/profile_images/1051496381230317568/A_ZsDjld.jpg","View")</f>
        <v>View</v>
      </c>
    </row>
    <row r="2340" spans="1:21" ht="40.799999999999997">
      <c r="A2340" s="6">
        <v>43440.627129629633</v>
      </c>
      <c r="B2340" s="7" t="str">
        <f>HYPERLINK("https://twitter.com/carlosjlmalaga","@carlosjlmalaga")</f>
        <v>@carlosjlmalaga</v>
      </c>
      <c r="C2340" s="8" t="s">
        <v>7675</v>
      </c>
      <c r="D2340" s="9" t="s">
        <v>7676</v>
      </c>
      <c r="E2340" s="10" t="str">
        <f>HYPERLINK("https://twitter.com/carlosjlmalaga/status/1070680024037122053","1070680024037122053")</f>
        <v>1070680024037122053</v>
      </c>
      <c r="F2340" s="11" t="s">
        <v>7677</v>
      </c>
      <c r="G2340" s="12"/>
      <c r="H2340" s="12"/>
      <c r="I2340" s="13">
        <v>0</v>
      </c>
      <c r="J2340" s="13">
        <v>0</v>
      </c>
      <c r="K2340" s="14" t="str">
        <f t="shared" ref="K2340:K2341" si="406">HYPERLINK("http://twitter.com/download/android","Twitter for Android")</f>
        <v>Twitter for Android</v>
      </c>
      <c r="L2340" s="13">
        <v>658</v>
      </c>
      <c r="M2340" s="13">
        <v>1589</v>
      </c>
      <c r="N2340" s="13">
        <v>4</v>
      </c>
      <c r="O2340" s="15"/>
      <c r="P2340" s="6">
        <v>41157.831828703704</v>
      </c>
      <c r="Q2340" s="16" t="s">
        <v>7678</v>
      </c>
      <c r="R2340" s="17" t="s">
        <v>7679</v>
      </c>
      <c r="S2340" s="11" t="s">
        <v>7680</v>
      </c>
      <c r="T2340" s="12"/>
      <c r="U2340" s="10" t="str">
        <f>HYPERLINK("https://pbs.twimg.com/profile_images/1032642007443890176/7Y9_vyD9.jpg","View")</f>
        <v>View</v>
      </c>
    </row>
    <row r="2341" spans="1:21" ht="40.799999999999997">
      <c r="A2341" s="6">
        <v>43440.62667824074</v>
      </c>
      <c r="B2341" s="7" t="str">
        <f>HYPERLINK("https://twitter.com/Portabales_Hijo","@Portabales_Hijo")</f>
        <v>@Portabales_Hijo</v>
      </c>
      <c r="C2341" s="8" t="s">
        <v>7034</v>
      </c>
      <c r="D2341" s="9" t="s">
        <v>7681</v>
      </c>
      <c r="E2341" s="10" t="str">
        <f>HYPERLINK("https://twitter.com/Portabales_Hijo/status/1070679861755289600","1070679861755289600")</f>
        <v>1070679861755289600</v>
      </c>
      <c r="F2341" s="11" t="s">
        <v>7682</v>
      </c>
      <c r="G2341" s="12"/>
      <c r="H2341" s="12"/>
      <c r="I2341" s="13">
        <v>4</v>
      </c>
      <c r="J2341" s="13">
        <v>7</v>
      </c>
      <c r="K2341" s="14" t="str">
        <f t="shared" si="406"/>
        <v>Twitter for Android</v>
      </c>
      <c r="L2341" s="13">
        <v>23416</v>
      </c>
      <c r="M2341" s="13">
        <v>23144</v>
      </c>
      <c r="N2341" s="13">
        <v>104</v>
      </c>
      <c r="O2341" s="15"/>
      <c r="P2341" s="6">
        <v>40251.941921296297</v>
      </c>
      <c r="Q2341" s="16" t="s">
        <v>7035</v>
      </c>
      <c r="R2341" s="17" t="s">
        <v>7036</v>
      </c>
      <c r="S2341" s="11" t="s">
        <v>7037</v>
      </c>
      <c r="T2341" s="12"/>
      <c r="U2341" s="10" t="str">
        <f>HYPERLINK("https://pbs.twimg.com/profile_images/708291008522493954/OR_M-4v2.jpg","View")</f>
        <v>View</v>
      </c>
    </row>
    <row r="2342" spans="1:21" ht="40.799999999999997">
      <c r="A2342" s="6">
        <v>43440.625520833331</v>
      </c>
      <c r="B2342" s="7" t="str">
        <f>HYPERLINK("https://twitter.com/estiletes","@estiletes")</f>
        <v>@estiletes</v>
      </c>
      <c r="C2342" s="8" t="s">
        <v>7665</v>
      </c>
      <c r="D2342" s="9" t="s">
        <v>7683</v>
      </c>
      <c r="E2342" s="10" t="str">
        <f>HYPERLINK("https://twitter.com/estiletes/status/1070679442132008960","1070679442132008960")</f>
        <v>1070679442132008960</v>
      </c>
      <c r="F2342" s="11" t="s">
        <v>7684</v>
      </c>
      <c r="G2342" s="12"/>
      <c r="H2342" s="12"/>
      <c r="I2342" s="13">
        <v>0</v>
      </c>
      <c r="J2342" s="13">
        <v>0</v>
      </c>
      <c r="K2342" s="14" t="str">
        <f>HYPERLINK("http://twitter.com","Twitter Web Client")</f>
        <v>Twitter Web Client</v>
      </c>
      <c r="L2342" s="13">
        <v>1753</v>
      </c>
      <c r="M2342" s="13">
        <v>1964</v>
      </c>
      <c r="N2342" s="13">
        <v>37</v>
      </c>
      <c r="O2342" s="15"/>
      <c r="P2342" s="6">
        <v>40724.800023148149</v>
      </c>
      <c r="Q2342" s="16" t="s">
        <v>60</v>
      </c>
      <c r="R2342" s="17" t="s">
        <v>7667</v>
      </c>
      <c r="S2342" s="12"/>
      <c r="T2342" s="12"/>
      <c r="U2342" s="10" t="str">
        <f>HYPERLINK("https://pbs.twimg.com/profile_images/2988347953/ddd2cde6af73b93085fd7bcf1d4a68da.png","View")</f>
        <v>View</v>
      </c>
    </row>
    <row r="2343" spans="1:21" ht="20.399999999999999">
      <c r="A2343" s="6">
        <v>43440.625289351854</v>
      </c>
      <c r="B2343" s="7" t="str">
        <f>HYPERLINK("https://twitter.com/Jesuu97","@Jesuu97")</f>
        <v>@Jesuu97</v>
      </c>
      <c r="C2343" s="8" t="s">
        <v>7685</v>
      </c>
      <c r="D2343" s="9" t="s">
        <v>7686</v>
      </c>
      <c r="E2343" s="10" t="str">
        <f>HYPERLINK("https://twitter.com/Jesuu97/status/1070679357528657920","1070679357528657920")</f>
        <v>1070679357528657920</v>
      </c>
      <c r="F2343" s="12"/>
      <c r="G2343" s="12"/>
      <c r="H2343" s="12"/>
      <c r="I2343" s="13">
        <v>0</v>
      </c>
      <c r="J2343" s="13">
        <v>0</v>
      </c>
      <c r="K2343" s="14" t="str">
        <f>HYPERLINK("http://twitter.com/download/android","Twitter for Android")</f>
        <v>Twitter for Android</v>
      </c>
      <c r="L2343" s="13">
        <v>675</v>
      </c>
      <c r="M2343" s="13">
        <v>374</v>
      </c>
      <c r="N2343" s="13">
        <v>9</v>
      </c>
      <c r="O2343" s="15"/>
      <c r="P2343" s="6">
        <v>41152.635717592595</v>
      </c>
      <c r="Q2343" s="12"/>
      <c r="R2343" s="17" t="s">
        <v>7687</v>
      </c>
      <c r="S2343" s="12"/>
      <c r="T2343" s="12"/>
      <c r="U2343" s="10" t="str">
        <f>HYPERLINK("https://pbs.twimg.com/profile_images/1067413481572438017/uJSowBVl.jpg","View")</f>
        <v>View</v>
      </c>
    </row>
    <row r="2344" spans="1:21" ht="40.799999999999997">
      <c r="A2344" s="6">
        <v>43440.62501157407</v>
      </c>
      <c r="B2344" s="7" t="str">
        <f>HYPERLINK("https://twitter.com/revista_siempre","@revista_siempre")</f>
        <v>@revista_siempre</v>
      </c>
      <c r="C2344" s="8" t="s">
        <v>7688</v>
      </c>
      <c r="D2344" s="9" t="s">
        <v>7689</v>
      </c>
      <c r="E2344" s="10" t="str">
        <f>HYPERLINK("https://twitter.com/revista_siempre/status/1070679254004711425","1070679254004711425")</f>
        <v>1070679254004711425</v>
      </c>
      <c r="F2344" s="11" t="s">
        <v>7690</v>
      </c>
      <c r="G2344" s="12"/>
      <c r="H2344" s="12"/>
      <c r="I2344" s="13">
        <v>2</v>
      </c>
      <c r="J2344" s="13">
        <v>2</v>
      </c>
      <c r="K2344" s="14" t="str">
        <f>HYPERLINK("https://about.twitter.com/products/tweetdeck","TweetDeck")</f>
        <v>TweetDeck</v>
      </c>
      <c r="L2344" s="13">
        <v>6674</v>
      </c>
      <c r="M2344" s="13">
        <v>1255</v>
      </c>
      <c r="N2344" s="13">
        <v>147</v>
      </c>
      <c r="O2344" s="15"/>
      <c r="P2344" s="6">
        <v>40220.956689814819</v>
      </c>
      <c r="Q2344" s="16" t="s">
        <v>862</v>
      </c>
      <c r="R2344" s="17" t="s">
        <v>7691</v>
      </c>
      <c r="S2344" s="11" t="s">
        <v>7692</v>
      </c>
      <c r="T2344" s="12"/>
      <c r="U2344" s="10" t="str">
        <f>HYPERLINK("https://pbs.twimg.com/profile_images/1019060869957812224/Tf_KJs4B.jpg","View")</f>
        <v>View</v>
      </c>
    </row>
    <row r="2345" spans="1:21" ht="30.6">
      <c r="A2345" s="6">
        <v>43440.624803240746</v>
      </c>
      <c r="B2345" s="7" t="str">
        <f>HYPERLINK("https://twitter.com/mehuelea","@mehuelea")</f>
        <v>@mehuelea</v>
      </c>
      <c r="C2345" s="8" t="s">
        <v>1247</v>
      </c>
      <c r="D2345" s="9" t="s">
        <v>7693</v>
      </c>
      <c r="E2345" s="10" t="str">
        <f>HYPERLINK("https://twitter.com/mehuelea/status/1070679180998778880","1070679180998778880")</f>
        <v>1070679180998778880</v>
      </c>
      <c r="F2345" s="11" t="s">
        <v>7694</v>
      </c>
      <c r="G2345" s="12"/>
      <c r="H2345" s="12"/>
      <c r="I2345" s="13">
        <v>0</v>
      </c>
      <c r="J2345" s="13">
        <v>0</v>
      </c>
      <c r="K2345" s="14" t="str">
        <f>HYPERLINK("http://twitter.com/download/android","Twitter for Android")</f>
        <v>Twitter for Android</v>
      </c>
      <c r="L2345" s="13">
        <v>3359</v>
      </c>
      <c r="M2345" s="13">
        <v>2757</v>
      </c>
      <c r="N2345" s="13">
        <v>26</v>
      </c>
      <c r="O2345" s="15"/>
      <c r="P2345" s="6">
        <v>40682.359872685185</v>
      </c>
      <c r="Q2345" s="16" t="s">
        <v>1251</v>
      </c>
      <c r="R2345" s="17" t="s">
        <v>1252</v>
      </c>
      <c r="S2345" s="11" t="s">
        <v>1253</v>
      </c>
      <c r="T2345" s="12"/>
      <c r="U2345" s="10" t="str">
        <f>HYPERLINK("https://pbs.twimg.com/profile_images/786420110919696384/2z6X6h6j.jpg","View")</f>
        <v>View</v>
      </c>
    </row>
    <row r="2346" spans="1:21" ht="30.6">
      <c r="A2346" s="6">
        <v>43440.622430555552</v>
      </c>
      <c r="B2346" s="7" t="str">
        <f>HYPERLINK("https://twitter.com/MateoLu79941552","@MateoLu79941552")</f>
        <v>@MateoLu79941552</v>
      </c>
      <c r="C2346" s="8" t="s">
        <v>6966</v>
      </c>
      <c r="D2346" s="9" t="s">
        <v>7695</v>
      </c>
      <c r="E2346" s="10" t="str">
        <f>HYPERLINK("https://twitter.com/MateoLu79941552/status/1070678319065120770","1070678319065120770")</f>
        <v>1070678319065120770</v>
      </c>
      <c r="F2346" s="11" t="s">
        <v>7523</v>
      </c>
      <c r="G2346" s="12"/>
      <c r="H2346" s="12"/>
      <c r="I2346" s="13">
        <v>0</v>
      </c>
      <c r="J2346" s="13">
        <v>0</v>
      </c>
      <c r="K2346" s="14" t="str">
        <f t="shared" ref="K2346:K2348" si="407">HYPERLINK("http://twitter.com","Twitter Web Client")</f>
        <v>Twitter Web Client</v>
      </c>
      <c r="L2346" s="13">
        <v>75</v>
      </c>
      <c r="M2346" s="13">
        <v>103</v>
      </c>
      <c r="N2346" s="13">
        <v>0</v>
      </c>
      <c r="O2346" s="15"/>
      <c r="P2346" s="6">
        <v>42714.965613425928</v>
      </c>
      <c r="Q2346" s="12"/>
      <c r="R2346" s="19"/>
      <c r="S2346" s="12"/>
      <c r="T2346" s="12"/>
      <c r="U2346" s="10" t="str">
        <f>HYPERLINK("https://pbs.twimg.com/profile_images/1035606686818619392/nOeTEZOU.jpg","View")</f>
        <v>View</v>
      </c>
    </row>
    <row r="2347" spans="1:21" ht="51">
      <c r="A2347" s="6">
        <v>43440.621898148151</v>
      </c>
      <c r="B2347" s="7" t="str">
        <f>HYPERLINK("https://twitter.com/LondresTele","@LondresTele")</f>
        <v>@LondresTele</v>
      </c>
      <c r="C2347" s="8" t="s">
        <v>7696</v>
      </c>
      <c r="D2347" s="9" t="s">
        <v>7697</v>
      </c>
      <c r="E2347" s="10" t="str">
        <f>HYPERLINK("https://twitter.com/LondresTele/status/1070678128262045696","1070678128262045696")</f>
        <v>1070678128262045696</v>
      </c>
      <c r="F2347" s="11" t="s">
        <v>7698</v>
      </c>
      <c r="G2347" s="11" t="s">
        <v>7699</v>
      </c>
      <c r="H2347" s="12"/>
      <c r="I2347" s="13">
        <v>0</v>
      </c>
      <c r="J2347" s="13">
        <v>0</v>
      </c>
      <c r="K2347" s="14" t="str">
        <f t="shared" si="407"/>
        <v>Twitter Web Client</v>
      </c>
      <c r="L2347" s="13">
        <v>173</v>
      </c>
      <c r="M2347" s="13">
        <v>295</v>
      </c>
      <c r="N2347" s="13">
        <v>0</v>
      </c>
      <c r="O2347" s="15"/>
      <c r="P2347" s="6">
        <v>42671.245104166665</v>
      </c>
      <c r="Q2347" s="16" t="s">
        <v>147</v>
      </c>
      <c r="R2347" s="17" t="s">
        <v>7700</v>
      </c>
      <c r="S2347" s="11" t="s">
        <v>7701</v>
      </c>
      <c r="T2347" s="12"/>
      <c r="U2347" s="10" t="str">
        <f>HYPERLINK("https://pbs.twimg.com/profile_images/1046768291090378752/HIBuX5JO.jpg","View")</f>
        <v>View</v>
      </c>
    </row>
    <row r="2348" spans="1:21" ht="20.399999999999999">
      <c r="A2348" s="6">
        <v>43440.621423611112</v>
      </c>
      <c r="B2348" s="7" t="str">
        <f>HYPERLINK("https://twitter.com/JUANSORIAARROYO","@JUANSORIAARROYO")</f>
        <v>@JUANSORIAARROYO</v>
      </c>
      <c r="C2348" s="8" t="s">
        <v>7702</v>
      </c>
      <c r="D2348" s="9" t="s">
        <v>7703</v>
      </c>
      <c r="E2348" s="10" t="str">
        <f>HYPERLINK("https://twitter.com/JUANSORIAARROYO/status/1070677955888730114","1070677955888730114")</f>
        <v>1070677955888730114</v>
      </c>
      <c r="F2348" s="12"/>
      <c r="G2348" s="12"/>
      <c r="H2348" s="12"/>
      <c r="I2348" s="13">
        <v>0</v>
      </c>
      <c r="J2348" s="13">
        <v>0</v>
      </c>
      <c r="K2348" s="14" t="str">
        <f t="shared" si="407"/>
        <v>Twitter Web Client</v>
      </c>
      <c r="L2348" s="13">
        <v>1016</v>
      </c>
      <c r="M2348" s="13">
        <v>1099</v>
      </c>
      <c r="N2348" s="13">
        <v>5</v>
      </c>
      <c r="O2348" s="15"/>
      <c r="P2348" s="6">
        <v>41165.739560185189</v>
      </c>
      <c r="Q2348" s="16" t="s">
        <v>7704</v>
      </c>
      <c r="R2348" s="17" t="s">
        <v>7705</v>
      </c>
      <c r="S2348" s="12"/>
      <c r="T2348" s="12"/>
      <c r="U2348" s="10" t="str">
        <f>HYPERLINK("https://pbs.twimg.com/profile_images/681790125114814468/ziuSfaJE.jpg","View")</f>
        <v>View</v>
      </c>
    </row>
    <row r="2349" spans="1:21" ht="20.399999999999999">
      <c r="A2349" s="6">
        <v>43440.621354166666</v>
      </c>
      <c r="B2349" s="7" t="str">
        <f>HYPERLINK("https://twitter.com/Clhoe999","@Clhoe999")</f>
        <v>@Clhoe999</v>
      </c>
      <c r="C2349" s="8" t="s">
        <v>7706</v>
      </c>
      <c r="D2349" s="9" t="s">
        <v>7707</v>
      </c>
      <c r="E2349" s="10" t="str">
        <f>HYPERLINK("https://twitter.com/Clhoe999/status/1070677931716960256","1070677931716960256")</f>
        <v>1070677931716960256</v>
      </c>
      <c r="F2349" s="12"/>
      <c r="G2349" s="11" t="s">
        <v>7708</v>
      </c>
      <c r="H2349" s="12"/>
      <c r="I2349" s="13">
        <v>0</v>
      </c>
      <c r="J2349" s="13">
        <v>1</v>
      </c>
      <c r="K2349" s="14" t="str">
        <f>HYPERLINK("http://twitter.com/download/android","Twitter for Android")</f>
        <v>Twitter for Android</v>
      </c>
      <c r="L2349" s="13">
        <v>15</v>
      </c>
      <c r="M2349" s="13">
        <v>87</v>
      </c>
      <c r="N2349" s="13">
        <v>0</v>
      </c>
      <c r="O2349" s="15"/>
      <c r="P2349" s="6">
        <v>42738.457314814819</v>
      </c>
      <c r="Q2349" s="16" t="s">
        <v>7709</v>
      </c>
      <c r="R2349" s="17" t="s">
        <v>7710</v>
      </c>
      <c r="S2349" s="12"/>
      <c r="T2349" s="12"/>
      <c r="U2349" s="10" t="str">
        <f>HYPERLINK("https://pbs.twimg.com/profile_images/909135024750055424/KYri-KxU.jpg","View")</f>
        <v>View</v>
      </c>
    </row>
    <row r="2350" spans="1:21" ht="40.799999999999997">
      <c r="A2350" s="6">
        <v>43440.620671296296</v>
      </c>
      <c r="B2350" s="7" t="str">
        <f>HYPERLINK("https://twitter.com/joserg0","@joserg0")</f>
        <v>@joserg0</v>
      </c>
      <c r="C2350" s="8" t="s">
        <v>7711</v>
      </c>
      <c r="D2350" s="9" t="s">
        <v>7712</v>
      </c>
      <c r="E2350" s="10" t="str">
        <f>HYPERLINK("https://twitter.com/joserg0/status/1070677681619042304","1070677681619042304")</f>
        <v>1070677681619042304</v>
      </c>
      <c r="F2350" s="11" t="s">
        <v>7713</v>
      </c>
      <c r="G2350" s="12"/>
      <c r="H2350" s="12"/>
      <c r="I2350" s="13">
        <v>2</v>
      </c>
      <c r="J2350" s="13">
        <v>2</v>
      </c>
      <c r="K2350" s="14" t="str">
        <f>HYPERLINK("http://twitter.com","Twitter Web Client")</f>
        <v>Twitter Web Client</v>
      </c>
      <c r="L2350" s="13">
        <v>45</v>
      </c>
      <c r="M2350" s="13">
        <v>175</v>
      </c>
      <c r="N2350" s="13">
        <v>0</v>
      </c>
      <c r="O2350" s="15"/>
      <c r="P2350" s="6">
        <v>42849.034479166672</v>
      </c>
      <c r="Q2350" s="12"/>
      <c r="R2350" s="19"/>
      <c r="S2350" s="12"/>
      <c r="T2350" s="12"/>
      <c r="U2350" s="10" t="str">
        <f>HYPERLINK("https://pbs.twimg.com/profile_images/922950146660470784/U4Srv4ft.jpg","View")</f>
        <v>View</v>
      </c>
    </row>
    <row r="2351" spans="1:21" ht="40.799999999999997">
      <c r="A2351" s="6">
        <v>43440.619687500002</v>
      </c>
      <c r="B2351" s="7" t="str">
        <f>HYPERLINK("https://twitter.com/VeoInfo_","@VeoInfo_")</f>
        <v>@VeoInfo_</v>
      </c>
      <c r="C2351" s="8" t="s">
        <v>2627</v>
      </c>
      <c r="D2351" s="9" t="s">
        <v>7714</v>
      </c>
      <c r="E2351" s="10" t="str">
        <f>HYPERLINK("https://twitter.com/VeoInfo_/status/1070677325304487936","1070677325304487936")</f>
        <v>1070677325304487936</v>
      </c>
      <c r="F2351" s="11" t="s">
        <v>7715</v>
      </c>
      <c r="G2351" s="11" t="s">
        <v>7716</v>
      </c>
      <c r="H2351" s="12"/>
      <c r="I2351" s="13">
        <v>0</v>
      </c>
      <c r="J2351" s="13">
        <v>0</v>
      </c>
      <c r="K2351" s="14" t="str">
        <f>HYPERLINK("http://publicize.wp.com/","WordPress.com")</f>
        <v>WordPress.com</v>
      </c>
      <c r="L2351" s="13">
        <v>1135</v>
      </c>
      <c r="M2351" s="13">
        <v>1139</v>
      </c>
      <c r="N2351" s="13">
        <v>37</v>
      </c>
      <c r="O2351" s="15"/>
      <c r="P2351" s="6">
        <v>41881.101840277777</v>
      </c>
      <c r="Q2351" s="16" t="s">
        <v>2629</v>
      </c>
      <c r="R2351" s="17" t="s">
        <v>2630</v>
      </c>
      <c r="S2351" s="11" t="s">
        <v>2631</v>
      </c>
      <c r="T2351" s="12"/>
      <c r="U2351" s="10" t="str">
        <f>HYPERLINK("https://pbs.twimg.com/profile_images/601509372305485827/Val0dfGy.png","View")</f>
        <v>View</v>
      </c>
    </row>
    <row r="2352" spans="1:21" ht="30.6">
      <c r="A2352" s="6">
        <v>43440.618414351848</v>
      </c>
      <c r="B2352" s="7" t="str">
        <f>HYPERLINK("https://twitter.com/esdiarimenorca","@esdiarimenorca")</f>
        <v>@esdiarimenorca</v>
      </c>
      <c r="C2352" s="20" t="s">
        <v>7717</v>
      </c>
      <c r="D2352" s="9" t="s">
        <v>7718</v>
      </c>
      <c r="E2352" s="10" t="str">
        <f>HYPERLINK("https://twitter.com/esdiarimenorca/status/1070676866091106304","1070676866091106304")</f>
        <v>1070676866091106304</v>
      </c>
      <c r="F2352" s="11" t="s">
        <v>7719</v>
      </c>
      <c r="G2352" s="11" t="s">
        <v>7720</v>
      </c>
      <c r="H2352" s="12"/>
      <c r="I2352" s="13">
        <v>0</v>
      </c>
      <c r="J2352" s="13">
        <v>0</v>
      </c>
      <c r="K2352" s="14" t="str">
        <f>HYPERLINK("https://buffer.com","Buffer")</f>
        <v>Buffer</v>
      </c>
      <c r="L2352" s="13">
        <v>10255</v>
      </c>
      <c r="M2352" s="13">
        <v>1252</v>
      </c>
      <c r="N2352" s="13">
        <v>163</v>
      </c>
      <c r="O2352" s="15"/>
      <c r="P2352" s="6">
        <v>40479.752638888887</v>
      </c>
      <c r="Q2352" s="16" t="s">
        <v>1795</v>
      </c>
      <c r="R2352" s="17" t="s">
        <v>7721</v>
      </c>
      <c r="S2352" s="11" t="s">
        <v>7722</v>
      </c>
      <c r="T2352" s="12"/>
      <c r="U2352" s="10" t="str">
        <f>HYPERLINK("https://pbs.twimg.com/profile_images/1045015708466384896/b4sDvW9z.jpg","View")</f>
        <v>View</v>
      </c>
    </row>
    <row r="2353" spans="1:21" ht="20.399999999999999">
      <c r="A2353" s="6">
        <v>43440.618263888886</v>
      </c>
      <c r="B2353" s="7" t="str">
        <f>HYPERLINK("https://twitter.com/jemayfe","@jemayfe")</f>
        <v>@jemayfe</v>
      </c>
      <c r="C2353" s="8" t="s">
        <v>7723</v>
      </c>
      <c r="D2353" s="9" t="s">
        <v>7724</v>
      </c>
      <c r="E2353" s="10" t="str">
        <f>HYPERLINK("https://twitter.com/jemayfe/status/1070676810017443840","1070676810017443840")</f>
        <v>1070676810017443840</v>
      </c>
      <c r="F2353" s="11" t="s">
        <v>6731</v>
      </c>
      <c r="G2353" s="12"/>
      <c r="H2353" s="12"/>
      <c r="I2353" s="13">
        <v>2</v>
      </c>
      <c r="J2353" s="13">
        <v>3</v>
      </c>
      <c r="K2353" s="14" t="str">
        <f t="shared" ref="K2353:K2356" si="408">HYPERLINK("http://twitter.com","Twitter Web Client")</f>
        <v>Twitter Web Client</v>
      </c>
      <c r="L2353" s="13">
        <v>4701</v>
      </c>
      <c r="M2353" s="13">
        <v>3893</v>
      </c>
      <c r="N2353" s="13">
        <v>8</v>
      </c>
      <c r="O2353" s="15"/>
      <c r="P2353" s="6">
        <v>42879.652638888889</v>
      </c>
      <c r="Q2353" s="16" t="s">
        <v>1003</v>
      </c>
      <c r="R2353" s="17" t="s">
        <v>7725</v>
      </c>
      <c r="S2353" s="12"/>
      <c r="T2353" s="12"/>
      <c r="U2353" s="10" t="str">
        <f>HYPERLINK("https://pbs.twimg.com/profile_images/1071414101115588609/EBkgqTyu.jpg","View")</f>
        <v>View</v>
      </c>
    </row>
    <row r="2354" spans="1:21" ht="30.6">
      <c r="A2354" s="6">
        <v>43440.617962962962</v>
      </c>
      <c r="B2354" s="7" t="str">
        <f>HYPERLINK("https://twitter.com/jasusio","@jasusio")</f>
        <v>@jasusio</v>
      </c>
      <c r="C2354" s="8" t="s">
        <v>7726</v>
      </c>
      <c r="D2354" s="9" t="s">
        <v>7727</v>
      </c>
      <c r="E2354" s="10" t="str">
        <f>HYPERLINK("https://twitter.com/jasusio/status/1070676701368238083","1070676701368238083")</f>
        <v>1070676701368238083</v>
      </c>
      <c r="F2354" s="11" t="s">
        <v>4145</v>
      </c>
      <c r="G2354" s="12"/>
      <c r="H2354" s="12"/>
      <c r="I2354" s="13">
        <v>3</v>
      </c>
      <c r="J2354" s="13">
        <v>0</v>
      </c>
      <c r="K2354" s="14" t="str">
        <f t="shared" si="408"/>
        <v>Twitter Web Client</v>
      </c>
      <c r="L2354" s="13">
        <v>5788</v>
      </c>
      <c r="M2354" s="13">
        <v>5560</v>
      </c>
      <c r="N2354" s="13">
        <v>45</v>
      </c>
      <c r="O2354" s="15"/>
      <c r="P2354" s="6">
        <v>40224.10428240741</v>
      </c>
      <c r="Q2354" s="16" t="s">
        <v>60</v>
      </c>
      <c r="R2354" s="17" t="s">
        <v>7728</v>
      </c>
      <c r="S2354" s="12"/>
      <c r="T2354" s="12"/>
      <c r="U2354" s="10" t="str">
        <f>HYPERLINK("https://pbs.twimg.com/profile_images/2273055900/xxsw04vb6r66zjxlj4o0.png","View")</f>
        <v>View</v>
      </c>
    </row>
    <row r="2355" spans="1:21" ht="20.399999999999999">
      <c r="A2355" s="6">
        <v>43440.6174537037</v>
      </c>
      <c r="B2355" s="7" t="str">
        <f>HYPERLINK("https://twitter.com/MALAGAALEXANDER","@MALAGAALEXANDER")</f>
        <v>@MALAGAALEXANDER</v>
      </c>
      <c r="C2355" s="8" t="s">
        <v>7729</v>
      </c>
      <c r="D2355" s="9" t="s">
        <v>3262</v>
      </c>
      <c r="E2355" s="10" t="str">
        <f>HYPERLINK("https://twitter.com/MALAGAALEXANDER/status/1070676516135202818","1070676516135202818")</f>
        <v>1070676516135202818</v>
      </c>
      <c r="F2355" s="11" t="s">
        <v>432</v>
      </c>
      <c r="G2355" s="12"/>
      <c r="H2355" s="12"/>
      <c r="I2355" s="13">
        <v>1</v>
      </c>
      <c r="J2355" s="13">
        <v>1</v>
      </c>
      <c r="K2355" s="14" t="str">
        <f t="shared" si="408"/>
        <v>Twitter Web Client</v>
      </c>
      <c r="L2355" s="13">
        <v>217</v>
      </c>
      <c r="M2355" s="13">
        <v>1347</v>
      </c>
      <c r="N2355" s="13">
        <v>15</v>
      </c>
      <c r="O2355" s="15"/>
      <c r="P2355" s="6">
        <v>41168.808599537035</v>
      </c>
      <c r="Q2355" s="12"/>
      <c r="R2355" s="19"/>
      <c r="S2355" s="12"/>
      <c r="T2355" s="12"/>
      <c r="U2355" s="10" t="str">
        <f>HYPERLINK("https://pbs.twimg.com/profile_images/818116909904396288/tGZ4oiiR.jpg","View")</f>
        <v>View</v>
      </c>
    </row>
    <row r="2356" spans="1:21" ht="40.799999999999997">
      <c r="A2356" s="6">
        <v>43440.617280092592</v>
      </c>
      <c r="B2356" s="7" t="str">
        <f t="shared" ref="B2356:B2357" si="409">HYPERLINK("https://twitter.com/adrianvguzman","@adrianvguzman")</f>
        <v>@adrianvguzman</v>
      </c>
      <c r="C2356" s="8" t="s">
        <v>7730</v>
      </c>
      <c r="D2356" s="9" t="s">
        <v>7731</v>
      </c>
      <c r="E2356" s="10" t="str">
        <f>HYPERLINK("https://twitter.com/adrianvguzman/status/1070676454554374144","1070676454554374144")</f>
        <v>1070676454554374144</v>
      </c>
      <c r="F2356" s="11" t="s">
        <v>7732</v>
      </c>
      <c r="G2356" s="12"/>
      <c r="H2356" s="12"/>
      <c r="I2356" s="13">
        <v>1</v>
      </c>
      <c r="J2356" s="13">
        <v>1</v>
      </c>
      <c r="K2356" s="14" t="str">
        <f t="shared" si="408"/>
        <v>Twitter Web Client</v>
      </c>
      <c r="L2356" s="13">
        <v>2761</v>
      </c>
      <c r="M2356" s="13">
        <v>3794</v>
      </c>
      <c r="N2356" s="13">
        <v>228</v>
      </c>
      <c r="O2356" s="15"/>
      <c r="P2356" s="6">
        <v>40282.029398148152</v>
      </c>
      <c r="Q2356" s="16" t="s">
        <v>7733</v>
      </c>
      <c r="R2356" s="17" t="s">
        <v>7734</v>
      </c>
      <c r="S2356" s="11" t="s">
        <v>7735</v>
      </c>
      <c r="T2356" s="12"/>
      <c r="U2356" s="10" t="str">
        <f t="shared" ref="U2356:U2357" si="410">HYPERLINK("https://pbs.twimg.com/profile_images/870347765087424514/k1rmcx7U.jpg","View")</f>
        <v>View</v>
      </c>
    </row>
    <row r="2357" spans="1:21" ht="40.799999999999997">
      <c r="A2357" s="6">
        <v>43440.617048611108</v>
      </c>
      <c r="B2357" s="7" t="str">
        <f t="shared" si="409"/>
        <v>@adrianvguzman</v>
      </c>
      <c r="C2357" s="8" t="s">
        <v>7730</v>
      </c>
      <c r="D2357" s="9" t="s">
        <v>7736</v>
      </c>
      <c r="E2357" s="10" t="str">
        <f>HYPERLINK("https://twitter.com/adrianvguzman/status/1070676370995535872","1070676370995535872")</f>
        <v>1070676370995535872</v>
      </c>
      <c r="F2357" s="11" t="s">
        <v>7737</v>
      </c>
      <c r="G2357" s="12"/>
      <c r="H2357" s="12"/>
      <c r="I2357" s="13">
        <v>0</v>
      </c>
      <c r="J2357" s="13">
        <v>0</v>
      </c>
      <c r="K2357" s="14" t="str">
        <f>HYPERLINK("https://www.google.com/","Google")</f>
        <v>Google</v>
      </c>
      <c r="L2357" s="13">
        <v>2761</v>
      </c>
      <c r="M2357" s="13">
        <v>3794</v>
      </c>
      <c r="N2357" s="13">
        <v>228</v>
      </c>
      <c r="O2357" s="15"/>
      <c r="P2357" s="6">
        <v>40282.029398148152</v>
      </c>
      <c r="Q2357" s="16" t="s">
        <v>7733</v>
      </c>
      <c r="R2357" s="17" t="s">
        <v>7734</v>
      </c>
      <c r="S2357" s="11" t="s">
        <v>7735</v>
      </c>
      <c r="T2357" s="12"/>
      <c r="U2357" s="10" t="str">
        <f t="shared" si="410"/>
        <v>View</v>
      </c>
    </row>
    <row r="2358" spans="1:21" ht="20.399999999999999">
      <c r="A2358" s="6">
        <v>43440.616423611107</v>
      </c>
      <c r="B2358" s="7" t="str">
        <f>HYPERLINK("https://twitter.com/Guadanews_es","@Guadanews_es")</f>
        <v>@Guadanews_es</v>
      </c>
      <c r="C2358" s="8" t="s">
        <v>1090</v>
      </c>
      <c r="D2358" s="9" t="s">
        <v>7738</v>
      </c>
      <c r="E2358" s="10" t="str">
        <f>HYPERLINK("https://twitter.com/Guadanews_es/status/1070676142313627649","1070676142313627649")</f>
        <v>1070676142313627649</v>
      </c>
      <c r="F2358" s="11" t="s">
        <v>7739</v>
      </c>
      <c r="G2358" s="12"/>
      <c r="H2358" s="12"/>
      <c r="I2358" s="13">
        <v>0</v>
      </c>
      <c r="J2358" s="13">
        <v>1</v>
      </c>
      <c r="K2358" s="14" t="str">
        <f>HYPERLINK("http://twitter.com","Twitter Web Client")</f>
        <v>Twitter Web Client</v>
      </c>
      <c r="L2358" s="13">
        <v>8167</v>
      </c>
      <c r="M2358" s="13">
        <v>4425</v>
      </c>
      <c r="N2358" s="13">
        <v>100</v>
      </c>
      <c r="O2358" s="15"/>
      <c r="P2358" s="6">
        <v>40499.537777777776</v>
      </c>
      <c r="Q2358" s="16" t="s">
        <v>708</v>
      </c>
      <c r="R2358" s="17" t="s">
        <v>1093</v>
      </c>
      <c r="S2358" s="11" t="s">
        <v>1094</v>
      </c>
      <c r="T2358" s="12"/>
      <c r="U2358" s="10" t="str">
        <f>HYPERLINK("https://pbs.twimg.com/profile_images/421322091573440512/KI0jgmZb.png","View")</f>
        <v>View</v>
      </c>
    </row>
    <row r="2359" spans="1:21" ht="30.6">
      <c r="A2359" s="6">
        <v>43440.615520833337</v>
      </c>
      <c r="B2359" s="7" t="str">
        <f>HYPERLINK("https://twitter.com/TuiteoCabudare","@TuiteoCabudare")</f>
        <v>@TuiteoCabudare</v>
      </c>
      <c r="C2359" s="8" t="s">
        <v>7740</v>
      </c>
      <c r="D2359" s="9" t="s">
        <v>4680</v>
      </c>
      <c r="E2359" s="10" t="str">
        <f>HYPERLINK("https://twitter.com/TuiteoCabudare/status/1070675815644450816","1070675815644450816")</f>
        <v>1070675815644450816</v>
      </c>
      <c r="F2359" s="11" t="s">
        <v>7741</v>
      </c>
      <c r="G2359" s="12"/>
      <c r="H2359" s="12"/>
      <c r="I2359" s="13">
        <v>0</v>
      </c>
      <c r="J2359" s="13">
        <v>0</v>
      </c>
      <c r="K2359" s="14" t="str">
        <f>HYPERLINK("https://ifttt.com","IFTTT")</f>
        <v>IFTTT</v>
      </c>
      <c r="L2359" s="13">
        <v>1508</v>
      </c>
      <c r="M2359" s="13">
        <v>61</v>
      </c>
      <c r="N2359" s="13">
        <v>50</v>
      </c>
      <c r="O2359" s="15"/>
      <c r="P2359" s="6">
        <v>41724.879340277781</v>
      </c>
      <c r="Q2359" s="16" t="s">
        <v>7742</v>
      </c>
      <c r="R2359" s="17" t="s">
        <v>7743</v>
      </c>
      <c r="S2359" s="12"/>
      <c r="T2359" s="12"/>
      <c r="U2359" s="10" t="str">
        <f>HYPERLINK("https://pbs.twimg.com/profile_images/448918097018101760/_AdehZ--.jpeg","View")</f>
        <v>View</v>
      </c>
    </row>
    <row r="2360" spans="1:21" ht="20.399999999999999">
      <c r="A2360" s="6">
        <v>43440.614756944444</v>
      </c>
      <c r="B2360" s="7" t="str">
        <f>HYPERLINK("https://twitter.com/ArmandoRuido007","@ArmandoRuido007")</f>
        <v>@ArmandoRuido007</v>
      </c>
      <c r="C2360" s="8" t="s">
        <v>7744</v>
      </c>
      <c r="D2360" s="9" t="s">
        <v>7745</v>
      </c>
      <c r="E2360" s="10" t="str">
        <f>HYPERLINK("https://twitter.com/ArmandoRuido007/status/1070675540506480640","1070675540506480640")</f>
        <v>1070675540506480640</v>
      </c>
      <c r="F2360" s="11" t="s">
        <v>2089</v>
      </c>
      <c r="G2360" s="12"/>
      <c r="H2360" s="12"/>
      <c r="I2360" s="13">
        <v>101</v>
      </c>
      <c r="J2360" s="13">
        <v>124</v>
      </c>
      <c r="K2360" s="14" t="str">
        <f t="shared" ref="K2360:K2362" si="411">HYPERLINK("http://twitter.com/download/android","Twitter for Android")</f>
        <v>Twitter for Android</v>
      </c>
      <c r="L2360" s="13">
        <v>539</v>
      </c>
      <c r="M2360" s="13">
        <v>359</v>
      </c>
      <c r="N2360" s="13">
        <v>1</v>
      </c>
      <c r="O2360" s="15"/>
      <c r="P2360" s="6">
        <v>43189.02516203704</v>
      </c>
      <c r="Q2360" s="12"/>
      <c r="R2360" s="17" t="s">
        <v>7746</v>
      </c>
      <c r="S2360" s="12"/>
      <c r="T2360" s="12"/>
      <c r="U2360" s="10" t="str">
        <f>HYPERLINK("https://pbs.twimg.com/profile_images/980814147603566592/FUXbnVvk.jpg","View")</f>
        <v>View</v>
      </c>
    </row>
    <row r="2361" spans="1:21" ht="51">
      <c r="A2361" s="6">
        <v>43440.614722222221</v>
      </c>
      <c r="B2361" s="7" t="str">
        <f>HYPERLINK("https://twitter.com/gines_rico","@gines_rico")</f>
        <v>@gines_rico</v>
      </c>
      <c r="C2361" s="8" t="s">
        <v>7747</v>
      </c>
      <c r="D2361" s="9" t="s">
        <v>7748</v>
      </c>
      <c r="E2361" s="10" t="str">
        <f>HYPERLINK("https://twitter.com/gines_rico/status/1070675526006771712","1070675526006771712")</f>
        <v>1070675526006771712</v>
      </c>
      <c r="F2361" s="12"/>
      <c r="G2361" s="12"/>
      <c r="H2361" s="12"/>
      <c r="I2361" s="13">
        <v>5</v>
      </c>
      <c r="J2361" s="13">
        <v>11</v>
      </c>
      <c r="K2361" s="14" t="str">
        <f t="shared" si="411"/>
        <v>Twitter for Android</v>
      </c>
      <c r="L2361" s="13">
        <v>2780</v>
      </c>
      <c r="M2361" s="13">
        <v>4999</v>
      </c>
      <c r="N2361" s="13">
        <v>13</v>
      </c>
      <c r="O2361" s="15"/>
      <c r="P2361" s="6">
        <v>40903.551192129627</v>
      </c>
      <c r="Q2361" s="16" t="s">
        <v>7749</v>
      </c>
      <c r="R2361" s="17" t="s">
        <v>7750</v>
      </c>
      <c r="S2361" s="12"/>
      <c r="T2361" s="12"/>
      <c r="U2361" s="10" t="str">
        <f>HYPERLINK("https://pbs.twimg.com/profile_images/1028734777174777856/OkaO-pKT.jpg","View")</f>
        <v>View</v>
      </c>
    </row>
    <row r="2362" spans="1:21" ht="20.399999999999999">
      <c r="A2362" s="6">
        <v>43440.614652777775</v>
      </c>
      <c r="B2362" s="7" t="str">
        <f>HYPERLINK("https://twitter.com/NaniElias60","@NaniElias60")</f>
        <v>@NaniElias60</v>
      </c>
      <c r="C2362" s="8" t="s">
        <v>7751</v>
      </c>
      <c r="D2362" s="9" t="s">
        <v>7752</v>
      </c>
      <c r="E2362" s="10" t="str">
        <f>HYPERLINK("https://twitter.com/NaniElias60/status/1070675502954876928","1070675502954876928")</f>
        <v>1070675502954876928</v>
      </c>
      <c r="F2362" s="12"/>
      <c r="G2362" s="12"/>
      <c r="H2362" s="12"/>
      <c r="I2362" s="13">
        <v>0</v>
      </c>
      <c r="J2362" s="13">
        <v>0</v>
      </c>
      <c r="K2362" s="14" t="str">
        <f t="shared" si="411"/>
        <v>Twitter for Android</v>
      </c>
      <c r="L2362" s="13">
        <v>616</v>
      </c>
      <c r="M2362" s="13">
        <v>1689</v>
      </c>
      <c r="N2362" s="13">
        <v>5</v>
      </c>
      <c r="O2362" s="15"/>
      <c r="P2362" s="6">
        <v>42011.96665509259</v>
      </c>
      <c r="Q2362" s="16" t="s">
        <v>7753</v>
      </c>
      <c r="R2362" s="19"/>
      <c r="S2362" s="12"/>
      <c r="T2362" s="12"/>
      <c r="U2362" s="10" t="str">
        <f>HYPERLINK("https://pbs.twimg.com/profile_images/552952897458409473/PXv0bRaG.jpeg","View")</f>
        <v>View</v>
      </c>
    </row>
    <row r="2363" spans="1:21" ht="30.6">
      <c r="A2363" s="6">
        <v>43440.614652777775</v>
      </c>
      <c r="B2363" s="7" t="str">
        <f>HYPERLINK("https://twitter.com/eldiarioAnd","@eldiarioAnd")</f>
        <v>@eldiarioAnd</v>
      </c>
      <c r="C2363" s="8" t="s">
        <v>7754</v>
      </c>
      <c r="D2363" s="9" t="s">
        <v>7755</v>
      </c>
      <c r="E2363" s="10" t="str">
        <f>HYPERLINK("https://twitter.com/eldiarioAnd/status/1070675502397046785","1070675502397046785")</f>
        <v>1070675502397046785</v>
      </c>
      <c r="F2363" s="11" t="s">
        <v>7756</v>
      </c>
      <c r="G2363" s="11" t="s">
        <v>7757</v>
      </c>
      <c r="H2363" s="12"/>
      <c r="I2363" s="13">
        <v>2</v>
      </c>
      <c r="J2363" s="13">
        <v>0</v>
      </c>
      <c r="K2363" s="14" t="str">
        <f>HYPERLINK("https://www.hootsuite.com","Hootsuite Inc.")</f>
        <v>Hootsuite Inc.</v>
      </c>
      <c r="L2363" s="13">
        <v>12793</v>
      </c>
      <c r="M2363" s="13">
        <v>1518</v>
      </c>
      <c r="N2363" s="13">
        <v>466</v>
      </c>
      <c r="O2363" s="15"/>
      <c r="P2363" s="6">
        <v>41303.916689814811</v>
      </c>
      <c r="Q2363" s="16" t="s">
        <v>1150</v>
      </c>
      <c r="R2363" s="17" t="s">
        <v>7758</v>
      </c>
      <c r="S2363" s="11" t="s">
        <v>7759</v>
      </c>
      <c r="T2363" s="12"/>
      <c r="U2363" s="10" t="str">
        <f>HYPERLINK("https://pbs.twimg.com/profile_images/576023590258102272/oRB0jI5T.jpeg","View")</f>
        <v>View</v>
      </c>
    </row>
    <row r="2364" spans="1:21" ht="30.6">
      <c r="A2364" s="6">
        <v>43440.614375000005</v>
      </c>
      <c r="B2364" s="7" t="str">
        <f>HYPERLINK("https://twitter.com/fcomartnez","@fcomartnez")</f>
        <v>@fcomartnez</v>
      </c>
      <c r="C2364" s="8" t="s">
        <v>4224</v>
      </c>
      <c r="D2364" s="9" t="s">
        <v>7760</v>
      </c>
      <c r="E2364" s="10" t="str">
        <f>HYPERLINK("https://twitter.com/fcomartnez/status/1070675403205951488","1070675403205951488")</f>
        <v>1070675403205951488</v>
      </c>
      <c r="F2364" s="11" t="s">
        <v>4628</v>
      </c>
      <c r="G2364" s="12"/>
      <c r="H2364" s="12"/>
      <c r="I2364" s="13">
        <v>0</v>
      </c>
      <c r="J2364" s="13">
        <v>0</v>
      </c>
      <c r="K2364" s="14" t="str">
        <f t="shared" ref="K2364:K2365" si="412">HYPERLINK("http://twitter.com","Twitter Web Client")</f>
        <v>Twitter Web Client</v>
      </c>
      <c r="L2364" s="13">
        <v>2840</v>
      </c>
      <c r="M2364" s="13">
        <v>2839</v>
      </c>
      <c r="N2364" s="13">
        <v>15</v>
      </c>
      <c r="O2364" s="15"/>
      <c r="P2364" s="6">
        <v>40682.76059027778</v>
      </c>
      <c r="Q2364" s="16" t="s">
        <v>60</v>
      </c>
      <c r="R2364" s="17" t="s">
        <v>4225</v>
      </c>
      <c r="S2364" s="12"/>
      <c r="T2364" s="12"/>
      <c r="U2364" s="10" t="str">
        <f>HYPERLINK("https://pbs.twimg.com/profile_images/1537287110/twentti.jpg","View")</f>
        <v>View</v>
      </c>
    </row>
    <row r="2365" spans="1:21" ht="30.6">
      <c r="A2365" s="6">
        <v>43440.613634259258</v>
      </c>
      <c r="B2365" s="7" t="str">
        <f>HYPERLINK("https://twitter.com/atojatojxyz","@atojatojxyz")</f>
        <v>@atojatojxyz</v>
      </c>
      <c r="C2365" s="8" t="s">
        <v>7761</v>
      </c>
      <c r="D2365" s="9" t="s">
        <v>7762</v>
      </c>
      <c r="E2365" s="10" t="str">
        <f>HYPERLINK("https://twitter.com/atojatojxyz/status/1070675132866269184","1070675132866269184")</f>
        <v>1070675132866269184</v>
      </c>
      <c r="F2365" s="11" t="s">
        <v>7763</v>
      </c>
      <c r="G2365" s="12"/>
      <c r="H2365" s="12"/>
      <c r="I2365" s="13">
        <v>0</v>
      </c>
      <c r="J2365" s="13">
        <v>0</v>
      </c>
      <c r="K2365" s="14" t="str">
        <f t="shared" si="412"/>
        <v>Twitter Web Client</v>
      </c>
      <c r="L2365" s="13">
        <v>624</v>
      </c>
      <c r="M2365" s="13">
        <v>429</v>
      </c>
      <c r="N2365" s="13">
        <v>19</v>
      </c>
      <c r="O2365" s="15"/>
      <c r="P2365" s="6">
        <v>40489.849733796298</v>
      </c>
      <c r="Q2365" s="12"/>
      <c r="R2365" s="17" t="s">
        <v>7764</v>
      </c>
      <c r="S2365" s="12"/>
      <c r="T2365" s="12"/>
      <c r="U2365" s="10" t="str">
        <f>HYPERLINK("https://pbs.twimg.com/profile_images/1068808622296174593/Ph-3ic6y.jpg","View")</f>
        <v>View</v>
      </c>
    </row>
    <row r="2366" spans="1:21" ht="30.6">
      <c r="A2366" s="6">
        <v>43440.612997685181</v>
      </c>
      <c r="B2366" s="7" t="str">
        <f>HYPERLINK("https://twitter.com/emily_habsburg","@emily_habsburg")</f>
        <v>@emily_habsburg</v>
      </c>
      <c r="C2366" s="8" t="s">
        <v>6875</v>
      </c>
      <c r="D2366" s="9" t="s">
        <v>4631</v>
      </c>
      <c r="E2366" s="10" t="str">
        <f>HYPERLINK("https://twitter.com/emily_habsburg/status/1070674900732600320","1070674900732600320")</f>
        <v>1070674900732600320</v>
      </c>
      <c r="F2366" s="16" t="s">
        <v>6894</v>
      </c>
      <c r="G2366" s="12"/>
      <c r="H2366" s="12"/>
      <c r="I2366" s="13">
        <v>1</v>
      </c>
      <c r="J2366" s="13">
        <v>3</v>
      </c>
      <c r="K2366" s="14" t="str">
        <f>HYPERLINK("http://twitter.com/download/iphone","Twitter for iPhone")</f>
        <v>Twitter for iPhone</v>
      </c>
      <c r="L2366" s="13">
        <v>5562</v>
      </c>
      <c r="M2366" s="13">
        <v>1949</v>
      </c>
      <c r="N2366" s="13">
        <v>54</v>
      </c>
      <c r="O2366" s="15"/>
      <c r="P2366" s="6">
        <v>40615.929212962961</v>
      </c>
      <c r="Q2366" s="16" t="s">
        <v>6878</v>
      </c>
      <c r="R2366" s="17" t="s">
        <v>6879</v>
      </c>
      <c r="S2366" s="12"/>
      <c r="T2366" s="12"/>
      <c r="U2366" s="10" t="str">
        <f>HYPERLINK("https://pbs.twimg.com/profile_images/1070744362315862021/Iu-BCfgV.jpg","View")</f>
        <v>View</v>
      </c>
    </row>
    <row r="2367" spans="1:21" ht="40.799999999999997">
      <c r="A2367" s="6">
        <v>43440.611666666664</v>
      </c>
      <c r="B2367" s="7" t="str">
        <f>HYPERLINK("https://twitter.com/ecd_","@ecd_")</f>
        <v>@ecd_</v>
      </c>
      <c r="C2367" s="8" t="s">
        <v>4880</v>
      </c>
      <c r="D2367" s="9" t="s">
        <v>7765</v>
      </c>
      <c r="E2367" s="10" t="str">
        <f>HYPERLINK("https://twitter.com/ecd_/status/1070674418790215681","1070674418790215681")</f>
        <v>1070674418790215681</v>
      </c>
      <c r="F2367" s="11" t="s">
        <v>7766</v>
      </c>
      <c r="G2367" s="12"/>
      <c r="H2367" s="12"/>
      <c r="I2367" s="13">
        <v>0</v>
      </c>
      <c r="J2367" s="13">
        <v>0</v>
      </c>
      <c r="K2367" s="14" t="str">
        <f>HYPERLINK("http://dogtrack.es","DogTrack_Oficial")</f>
        <v>DogTrack_Oficial</v>
      </c>
      <c r="L2367" s="13">
        <v>88447</v>
      </c>
      <c r="M2367" s="13">
        <v>364</v>
      </c>
      <c r="N2367" s="13">
        <v>2648</v>
      </c>
      <c r="O2367" s="15"/>
      <c r="P2367" s="6">
        <v>39931.730115740742</v>
      </c>
      <c r="Q2367" s="28" t="s">
        <v>4882</v>
      </c>
      <c r="R2367" s="17" t="s">
        <v>4883</v>
      </c>
      <c r="S2367" s="11" t="s">
        <v>4884</v>
      </c>
      <c r="T2367" s="12"/>
      <c r="U2367" s="10" t="str">
        <f>HYPERLINK("https://pbs.twimg.com/profile_images/720595850238554113/Y8DGFyzZ.jpg","View")</f>
        <v>View</v>
      </c>
    </row>
    <row r="2368" spans="1:21" ht="40.799999999999997">
      <c r="A2368" s="6">
        <v>43440.611331018517</v>
      </c>
      <c r="B2368" s="7" t="str">
        <f>HYPERLINK("https://twitter.com/ElIcebergMadrid","@ElIcebergMadrid")</f>
        <v>@ElIcebergMadrid</v>
      </c>
      <c r="C2368" s="8" t="s">
        <v>7767</v>
      </c>
      <c r="D2368" s="9" t="s">
        <v>7768</v>
      </c>
      <c r="E2368" s="10" t="str">
        <f>HYPERLINK("https://twitter.com/ElIcebergMadrid/status/1070674300116631552","1070674300116631552")</f>
        <v>1070674300116631552</v>
      </c>
      <c r="F2368" s="11" t="s">
        <v>7769</v>
      </c>
      <c r="G2368" s="12"/>
      <c r="H2368" s="12"/>
      <c r="I2368" s="13">
        <v>0</v>
      </c>
      <c r="J2368" s="13">
        <v>0</v>
      </c>
      <c r="K2368" s="14" t="str">
        <f>HYPERLINK("http://www.facebook.com/twitter","Facebook")</f>
        <v>Facebook</v>
      </c>
      <c r="L2368" s="13">
        <v>4068</v>
      </c>
      <c r="M2368" s="13">
        <v>2700</v>
      </c>
      <c r="N2368" s="13">
        <v>125</v>
      </c>
      <c r="O2368" s="15"/>
      <c r="P2368" s="6">
        <v>40826.760937500003</v>
      </c>
      <c r="Q2368" s="16" t="s">
        <v>7770</v>
      </c>
      <c r="R2368" s="17" t="s">
        <v>7771</v>
      </c>
      <c r="S2368" s="11" t="s">
        <v>7772</v>
      </c>
      <c r="T2368" s="12"/>
      <c r="U2368" s="10" t="str">
        <f>HYPERLINK("https://pbs.twimg.com/profile_images/1593551576/wq-iceberg-underwater_1_.jpg","View")</f>
        <v>View</v>
      </c>
    </row>
    <row r="2369" spans="1:21" ht="30.6">
      <c r="A2369" s="6">
        <v>43440.611180555556</v>
      </c>
      <c r="B2369" s="7" t="str">
        <f>HYPERLINK("https://twitter.com/Cambio16","@Cambio16")</f>
        <v>@Cambio16</v>
      </c>
      <c r="C2369" s="8" t="s">
        <v>2837</v>
      </c>
      <c r="D2369" s="9" t="s">
        <v>7773</v>
      </c>
      <c r="E2369" s="10" t="str">
        <f>HYPERLINK("https://twitter.com/Cambio16/status/1070674243090898944","1070674243090898944")</f>
        <v>1070674243090898944</v>
      </c>
      <c r="F2369" s="11" t="s">
        <v>7774</v>
      </c>
      <c r="G2369" s="11" t="s">
        <v>7775</v>
      </c>
      <c r="H2369" s="12"/>
      <c r="I2369" s="13">
        <v>0</v>
      </c>
      <c r="J2369" s="13">
        <v>1</v>
      </c>
      <c r="K2369" s="14" t="str">
        <f>HYPERLINK("https://www.hootsuite.com","Hootsuite Inc.")</f>
        <v>Hootsuite Inc.</v>
      </c>
      <c r="L2369" s="13">
        <v>17336</v>
      </c>
      <c r="M2369" s="13">
        <v>1007</v>
      </c>
      <c r="N2369" s="13">
        <v>502</v>
      </c>
      <c r="O2369" s="15"/>
      <c r="P2369" s="6">
        <v>40341.492245370369</v>
      </c>
      <c r="Q2369" s="16" t="s">
        <v>133</v>
      </c>
      <c r="R2369" s="17" t="s">
        <v>2842</v>
      </c>
      <c r="S2369" s="11" t="s">
        <v>2843</v>
      </c>
      <c r="T2369" s="12"/>
      <c r="U2369" s="10" t="str">
        <f>HYPERLINK("https://pbs.twimg.com/profile_images/1060221846208069632/vJfJ3_T5.jpg","View")</f>
        <v>View</v>
      </c>
    </row>
    <row r="2370" spans="1:21" ht="40.799999999999997">
      <c r="A2370" s="6">
        <v>43440.61109953704</v>
      </c>
      <c r="B2370" s="7" t="str">
        <f>HYPERLINK("https://twitter.com/ElIcebergMadrid","@ElIcebergMadrid")</f>
        <v>@ElIcebergMadrid</v>
      </c>
      <c r="C2370" s="8" t="s">
        <v>7767</v>
      </c>
      <c r="D2370" s="9" t="s">
        <v>7768</v>
      </c>
      <c r="E2370" s="10" t="str">
        <f>HYPERLINK("https://twitter.com/ElIcebergMadrid/status/1070674213491621889","1070674213491621889")</f>
        <v>1070674213491621889</v>
      </c>
      <c r="F2370" s="11" t="s">
        <v>7769</v>
      </c>
      <c r="G2370" s="11" t="s">
        <v>7776</v>
      </c>
      <c r="H2370" s="12"/>
      <c r="I2370" s="13">
        <v>0</v>
      </c>
      <c r="J2370" s="13">
        <v>0</v>
      </c>
      <c r="K2370" s="14" t="str">
        <f>HYPERLINK("http://publicize.wp.com/","WordPress.com")</f>
        <v>WordPress.com</v>
      </c>
      <c r="L2370" s="13">
        <v>4068</v>
      </c>
      <c r="M2370" s="13">
        <v>2700</v>
      </c>
      <c r="N2370" s="13">
        <v>125</v>
      </c>
      <c r="O2370" s="15"/>
      <c r="P2370" s="6">
        <v>40826.760937500003</v>
      </c>
      <c r="Q2370" s="16" t="s">
        <v>7770</v>
      </c>
      <c r="R2370" s="17" t="s">
        <v>7771</v>
      </c>
      <c r="S2370" s="11" t="s">
        <v>7772</v>
      </c>
      <c r="T2370" s="12"/>
      <c r="U2370" s="10" t="str">
        <f>HYPERLINK("https://pbs.twimg.com/profile_images/1593551576/wq-iceberg-underwater_1_.jpg","View")</f>
        <v>View</v>
      </c>
    </row>
    <row r="2371" spans="1:21" ht="51">
      <c r="A2371" s="6">
        <v>43440.610891203702</v>
      </c>
      <c r="B2371" s="7" t="str">
        <f>HYPERLINK("https://twitter.com/rubendgu","@rubendgu")</f>
        <v>@rubendgu</v>
      </c>
      <c r="C2371" s="8" t="s">
        <v>7777</v>
      </c>
      <c r="D2371" s="9" t="s">
        <v>7778</v>
      </c>
      <c r="E2371" s="10" t="str">
        <f>HYPERLINK("https://twitter.com/rubendgu/status/1070674139164360705","1070674139164360705")</f>
        <v>1070674139164360705</v>
      </c>
      <c r="F2371" s="11" t="s">
        <v>7779</v>
      </c>
      <c r="G2371" s="12"/>
      <c r="H2371" s="12"/>
      <c r="I2371" s="13">
        <v>1</v>
      </c>
      <c r="J2371" s="13">
        <v>1</v>
      </c>
      <c r="K2371" s="14" t="str">
        <f>HYPERLINK("http://twitter.com","Twitter Web Client")</f>
        <v>Twitter Web Client</v>
      </c>
      <c r="L2371" s="13">
        <v>2594</v>
      </c>
      <c r="M2371" s="13">
        <v>4987</v>
      </c>
      <c r="N2371" s="13">
        <v>50</v>
      </c>
      <c r="O2371" s="15"/>
      <c r="P2371" s="6">
        <v>40182.811284722222</v>
      </c>
      <c r="Q2371" s="16" t="s">
        <v>200</v>
      </c>
      <c r="R2371" s="17" t="s">
        <v>7780</v>
      </c>
      <c r="S2371" s="12"/>
      <c r="T2371" s="12"/>
      <c r="U2371" s="10" t="str">
        <f>HYPERLINK("https://pbs.twimg.com/profile_images/815857484048973824/148feHHX.jpg","View")</f>
        <v>View</v>
      </c>
    </row>
    <row r="2372" spans="1:21" ht="20.399999999999999">
      <c r="A2372" s="6">
        <v>43440.609918981485</v>
      </c>
      <c r="B2372" s="7" t="str">
        <f>HYPERLINK("https://twitter.com/LuisLeonardoV","@LuisLeonardoV")</f>
        <v>@LuisLeonardoV</v>
      </c>
      <c r="C2372" s="8" t="s">
        <v>4411</v>
      </c>
      <c r="D2372" s="9" t="s">
        <v>7765</v>
      </c>
      <c r="E2372" s="10" t="str">
        <f>HYPERLINK("https://twitter.com/LuisLeonardoV/status/1070673787539124224","1070673787539124224")</f>
        <v>1070673787539124224</v>
      </c>
      <c r="F2372" s="11" t="s">
        <v>6283</v>
      </c>
      <c r="G2372" s="12"/>
      <c r="H2372" s="12"/>
      <c r="I2372" s="13">
        <v>0</v>
      </c>
      <c r="J2372" s="13">
        <v>0</v>
      </c>
      <c r="K2372" s="14" t="str">
        <f>HYPERLINK("http://www.facebook.com/twitter","Facebook")</f>
        <v>Facebook</v>
      </c>
      <c r="L2372" s="13">
        <v>87</v>
      </c>
      <c r="M2372" s="13">
        <v>577</v>
      </c>
      <c r="N2372" s="13">
        <v>0</v>
      </c>
      <c r="O2372" s="15"/>
      <c r="P2372" s="6">
        <v>40799.628391203703</v>
      </c>
      <c r="Q2372" s="16" t="s">
        <v>3231</v>
      </c>
      <c r="R2372" s="17" t="s">
        <v>4412</v>
      </c>
      <c r="S2372" s="12"/>
      <c r="T2372" s="12"/>
      <c r="U2372" s="10" t="str">
        <f>HYPERLINK("https://pbs.twimg.com/profile_images/953603125646188544/vVgwuEZ6.jpg","View")</f>
        <v>View</v>
      </c>
    </row>
    <row r="2373" spans="1:21" ht="40.799999999999997">
      <c r="A2373" s="6">
        <v>43440.60564814815</v>
      </c>
      <c r="B2373" s="7" t="str">
        <f>HYPERLINK("https://twitter.com/elnacionalcat_e","@elnacionalcat_e")</f>
        <v>@elnacionalcat_e</v>
      </c>
      <c r="C2373" s="8" t="s">
        <v>7781</v>
      </c>
      <c r="D2373" s="9" t="s">
        <v>7782</v>
      </c>
      <c r="E2373" s="10" t="str">
        <f>HYPERLINK("https://twitter.com/elnacionalcat_e/status/1070672238511357953","1070672238511357953")</f>
        <v>1070672238511357953</v>
      </c>
      <c r="F2373" s="11" t="s">
        <v>7783</v>
      </c>
      <c r="G2373" s="12"/>
      <c r="H2373" s="12"/>
      <c r="I2373" s="13">
        <v>1</v>
      </c>
      <c r="J2373" s="13">
        <v>1</v>
      </c>
      <c r="K2373" s="14" t="str">
        <f>HYPERLINK("http://www.wearebab.com","Comitium5 BAB")</f>
        <v>Comitium5 BAB</v>
      </c>
      <c r="L2373" s="13">
        <v>5553</v>
      </c>
      <c r="M2373" s="13">
        <v>355</v>
      </c>
      <c r="N2373" s="13">
        <v>169</v>
      </c>
      <c r="O2373" s="15"/>
      <c r="P2373" s="6">
        <v>42247.840567129635</v>
      </c>
      <c r="Q2373" s="16" t="s">
        <v>2725</v>
      </c>
      <c r="R2373" s="17" t="s">
        <v>7784</v>
      </c>
      <c r="S2373" s="11" t="s">
        <v>7785</v>
      </c>
      <c r="T2373" s="12"/>
      <c r="U2373" s="10" t="str">
        <f>HYPERLINK("https://pbs.twimg.com/profile_images/646298514385960960/VEutSP7L.png","View")</f>
        <v>View</v>
      </c>
    </row>
    <row r="2374" spans="1:21" ht="40.799999999999997">
      <c r="A2374" s="6">
        <v>43440.605462962965</v>
      </c>
      <c r="B2374" s="7" t="str">
        <f>HYPERLINK("https://twitter.com/GarciaCarmonaAM","@GarciaCarmonaAM")</f>
        <v>@GarciaCarmonaAM</v>
      </c>
      <c r="C2374" s="8" t="s">
        <v>7786</v>
      </c>
      <c r="D2374" s="9" t="s">
        <v>7787</v>
      </c>
      <c r="E2374" s="10" t="str">
        <f>HYPERLINK("https://twitter.com/GarciaCarmonaAM/status/1070672173205999616","1070672173205999616")</f>
        <v>1070672173205999616</v>
      </c>
      <c r="F2374" s="11" t="s">
        <v>4628</v>
      </c>
      <c r="G2374" s="12"/>
      <c r="H2374" s="12"/>
      <c r="I2374" s="13">
        <v>1</v>
      </c>
      <c r="J2374" s="13">
        <v>1</v>
      </c>
      <c r="K2374" s="14" t="str">
        <f>HYPERLINK("http://twitter.com","Twitter Web Client")</f>
        <v>Twitter Web Client</v>
      </c>
      <c r="L2374" s="13">
        <v>2728</v>
      </c>
      <c r="M2374" s="13">
        <v>2516</v>
      </c>
      <c r="N2374" s="13">
        <v>109</v>
      </c>
      <c r="O2374" s="15"/>
      <c r="P2374" s="6">
        <v>39995.782766203702</v>
      </c>
      <c r="Q2374" s="16" t="s">
        <v>7788</v>
      </c>
      <c r="R2374" s="17" t="s">
        <v>7789</v>
      </c>
      <c r="S2374" s="11" t="s">
        <v>7790</v>
      </c>
      <c r="T2374" s="12"/>
      <c r="U2374" s="10" t="str">
        <f>HYPERLINK("https://pbs.twimg.com/profile_images/1061276482830516224/m6xQAoDS.jpg","View")</f>
        <v>View</v>
      </c>
    </row>
    <row r="2375" spans="1:21" ht="30.6">
      <c r="A2375" s="6">
        <v>43440.605092592596</v>
      </c>
      <c r="B2375" s="7" t="str">
        <f>HYPERLINK("https://twitter.com/MarisaVargas_R","@MarisaVargas_R")</f>
        <v>@MarisaVargas_R</v>
      </c>
      <c r="C2375" s="8" t="s">
        <v>1290</v>
      </c>
      <c r="D2375" s="9" t="s">
        <v>7791</v>
      </c>
      <c r="E2375" s="10" t="str">
        <f>HYPERLINK("https://twitter.com/MarisaVargas_R/status/1070672039059570689","1070672039059570689")</f>
        <v>1070672039059570689</v>
      </c>
      <c r="F2375" s="11" t="s">
        <v>2089</v>
      </c>
      <c r="G2375" s="12"/>
      <c r="H2375" s="12"/>
      <c r="I2375" s="13">
        <v>2</v>
      </c>
      <c r="J2375" s="13">
        <v>1</v>
      </c>
      <c r="K2375" s="14" t="str">
        <f>HYPERLINK("http://twitter.com/download/android","Twitter for Android")</f>
        <v>Twitter for Android</v>
      </c>
      <c r="L2375" s="13">
        <v>9485</v>
      </c>
      <c r="M2375" s="13">
        <v>9286</v>
      </c>
      <c r="N2375" s="13">
        <v>160</v>
      </c>
      <c r="O2375" s="15"/>
      <c r="P2375" s="6">
        <v>40624.802627314813</v>
      </c>
      <c r="Q2375" s="16" t="s">
        <v>1293</v>
      </c>
      <c r="R2375" s="17" t="s">
        <v>1294</v>
      </c>
      <c r="S2375" s="12"/>
      <c r="T2375" s="12"/>
      <c r="U2375" s="10" t="str">
        <f>HYPERLINK("https://pbs.twimg.com/profile_images/789471807682256896/cuEOEHIr.jpg","View")</f>
        <v>View</v>
      </c>
    </row>
    <row r="2376" spans="1:21" ht="30.6">
      <c r="A2376" s="6">
        <v>43440.604317129633</v>
      </c>
      <c r="B2376" s="7" t="str">
        <f>HYPERLINK("https://twitter.com/eldiariomurcia","@eldiariomurcia")</f>
        <v>@eldiariomurcia</v>
      </c>
      <c r="C2376" s="8" t="s">
        <v>7792</v>
      </c>
      <c r="D2376" s="9" t="s">
        <v>7793</v>
      </c>
      <c r="E2376" s="10" t="str">
        <f>HYPERLINK("https://twitter.com/eldiariomurcia/status/1070671755855958016","1070671755855958016")</f>
        <v>1070671755855958016</v>
      </c>
      <c r="F2376" s="11" t="s">
        <v>3140</v>
      </c>
      <c r="G2376" s="12"/>
      <c r="H2376" s="12"/>
      <c r="I2376" s="13">
        <v>0</v>
      </c>
      <c r="J2376" s="13">
        <v>0</v>
      </c>
      <c r="K2376" s="14" t="str">
        <f>HYPERLINK("https://www.hootsuite.com","Hootsuite Inc.")</f>
        <v>Hootsuite Inc.</v>
      </c>
      <c r="L2376" s="13">
        <v>7001</v>
      </c>
      <c r="M2376" s="13">
        <v>2164</v>
      </c>
      <c r="N2376" s="13">
        <v>152</v>
      </c>
      <c r="O2376" s="15"/>
      <c r="P2376" s="6">
        <v>41907.596539351856</v>
      </c>
      <c r="Q2376" s="16" t="s">
        <v>7794</v>
      </c>
      <c r="R2376" s="17" t="s">
        <v>7795</v>
      </c>
      <c r="S2376" s="11" t="s">
        <v>7796</v>
      </c>
      <c r="T2376" s="12"/>
      <c r="U2376" s="10" t="str">
        <f>HYPERLINK("https://pbs.twimg.com/profile_images/972423446188699648/DsZx-3Jc.jpg","View")</f>
        <v>View</v>
      </c>
    </row>
    <row r="2377" spans="1:21" ht="40.799999999999997">
      <c r="A2377" s="6">
        <v>43440.604247685187</v>
      </c>
      <c r="B2377" s="7" t="str">
        <f>HYPERLINK("https://twitter.com/lextresabogados","@lextresabogados")</f>
        <v>@lextresabogados</v>
      </c>
      <c r="C2377" s="8" t="s">
        <v>226</v>
      </c>
      <c r="D2377" s="9" t="s">
        <v>7797</v>
      </c>
      <c r="E2377" s="10" t="str">
        <f>HYPERLINK("https://twitter.com/lextresabogados/status/1070671730702716928","1070671730702716928")</f>
        <v>1070671730702716928</v>
      </c>
      <c r="F2377" s="11" t="s">
        <v>7422</v>
      </c>
      <c r="G2377" s="12"/>
      <c r="H2377" s="12"/>
      <c r="I2377" s="13">
        <v>0</v>
      </c>
      <c r="J2377" s="13">
        <v>0</v>
      </c>
      <c r="K2377" s="14" t="str">
        <f>HYPERLINK("http://35.180.36.179","botize nueva")</f>
        <v>botize nueva</v>
      </c>
      <c r="L2377" s="13">
        <v>2912</v>
      </c>
      <c r="M2377" s="13">
        <v>3525</v>
      </c>
      <c r="N2377" s="13">
        <v>26</v>
      </c>
      <c r="O2377" s="15"/>
      <c r="P2377" s="6">
        <v>42880.770949074074</v>
      </c>
      <c r="Q2377" s="16" t="s">
        <v>230</v>
      </c>
      <c r="R2377" s="17" t="s">
        <v>231</v>
      </c>
      <c r="S2377" s="11" t="s">
        <v>232</v>
      </c>
      <c r="T2377" s="12"/>
      <c r="U2377" s="10" t="str">
        <f>HYPERLINK("https://pbs.twimg.com/profile_images/1068056978679898113/YnjKwiVy.jpg","View")</f>
        <v>View</v>
      </c>
    </row>
    <row r="2378" spans="1:21" ht="30.6">
      <c r="A2378" s="6">
        <v>43440.604074074072</v>
      </c>
      <c r="B2378" s="7" t="str">
        <f>HYPERLINK("https://twitter.com/LVetrinbajo","@LVetrinbajo")</f>
        <v>@LVetrinbajo</v>
      </c>
      <c r="C2378" s="8" t="s">
        <v>5154</v>
      </c>
      <c r="D2378" s="9" t="s">
        <v>7798</v>
      </c>
      <c r="E2378" s="10" t="str">
        <f>HYPERLINK("https://twitter.com/LVetrinbajo/status/1070671667045822464","1070671667045822464")</f>
        <v>1070671667045822464</v>
      </c>
      <c r="F2378" s="11" t="s">
        <v>7799</v>
      </c>
      <c r="G2378" s="12"/>
      <c r="H2378" s="12"/>
      <c r="I2378" s="13">
        <v>1</v>
      </c>
      <c r="J2378" s="13">
        <v>0</v>
      </c>
      <c r="K2378" s="14" t="str">
        <f>HYPERLINK("http://twitter.com/download/iphone","Twitter for iPhone")</f>
        <v>Twitter for iPhone</v>
      </c>
      <c r="L2378" s="13">
        <v>875</v>
      </c>
      <c r="M2378" s="13">
        <v>1945</v>
      </c>
      <c r="N2378" s="13">
        <v>7</v>
      </c>
      <c r="O2378" s="15"/>
      <c r="P2378" s="6">
        <v>43091.966851851852</v>
      </c>
      <c r="Q2378" s="16" t="s">
        <v>2966</v>
      </c>
      <c r="R2378" s="17" t="s">
        <v>5157</v>
      </c>
      <c r="S2378" s="12"/>
      <c r="T2378" s="12"/>
      <c r="U2378" s="10" t="str">
        <f>HYPERLINK("https://pbs.twimg.com/profile_images/1002927443542528001/Ye4GwF3U.jpg","View")</f>
        <v>View</v>
      </c>
    </row>
    <row r="2379" spans="1:21" ht="51">
      <c r="A2379" s="6">
        <v>43440.604074074072</v>
      </c>
      <c r="B2379" s="7" t="str">
        <f>HYPERLINK("https://twitter.com/JavierMonteroPr","@JavierMonteroPr")</f>
        <v>@JavierMonteroPr</v>
      </c>
      <c r="C2379" s="8" t="s">
        <v>7800</v>
      </c>
      <c r="D2379" s="9" t="s">
        <v>5630</v>
      </c>
      <c r="E2379" s="10" t="str">
        <f>HYPERLINK("https://twitter.com/JavierMonteroPr/status/1070671666387275782","1070671666387275782")</f>
        <v>1070671666387275782</v>
      </c>
      <c r="F2379" s="11" t="s">
        <v>5631</v>
      </c>
      <c r="G2379" s="12"/>
      <c r="H2379" s="12"/>
      <c r="I2379" s="13">
        <v>0</v>
      </c>
      <c r="J2379" s="13">
        <v>0</v>
      </c>
      <c r="K2379" s="14" t="str">
        <f t="shared" ref="K2379:K2380" si="413">HYPERLINK("http://www.facebook.com/twitter","Facebook")</f>
        <v>Facebook</v>
      </c>
      <c r="L2379" s="13">
        <v>709</v>
      </c>
      <c r="M2379" s="13">
        <v>2033</v>
      </c>
      <c r="N2379" s="13">
        <v>37</v>
      </c>
      <c r="O2379" s="15"/>
      <c r="P2379" s="6">
        <v>40755.847129629634</v>
      </c>
      <c r="Q2379" s="16" t="s">
        <v>7801</v>
      </c>
      <c r="R2379" s="17" t="s">
        <v>7802</v>
      </c>
      <c r="S2379" s="11" t="s">
        <v>7803</v>
      </c>
      <c r="T2379" s="12"/>
      <c r="U2379" s="10" t="str">
        <f>HYPERLINK("https://pbs.twimg.com/profile_images/857636345652670464/nQY62_t6.jpg","View")</f>
        <v>View</v>
      </c>
    </row>
    <row r="2380" spans="1:21" ht="30.6">
      <c r="A2380" s="6">
        <v>43440.603634259256</v>
      </c>
      <c r="B2380" s="7" t="str">
        <f>HYPERLINK("https://twitter.com/gabrieljimenezh","@gabrieljimenezh")</f>
        <v>@gabrieljimenezh</v>
      </c>
      <c r="C2380" s="8" t="s">
        <v>7804</v>
      </c>
      <c r="D2380" s="9" t="s">
        <v>7805</v>
      </c>
      <c r="E2380" s="10" t="str">
        <f>HYPERLINK("https://twitter.com/gabrieljimenezh/status/1070671508664737792","1070671508664737792")</f>
        <v>1070671508664737792</v>
      </c>
      <c r="F2380" s="11" t="s">
        <v>7806</v>
      </c>
      <c r="G2380" s="12"/>
      <c r="H2380" s="12"/>
      <c r="I2380" s="13">
        <v>0</v>
      </c>
      <c r="J2380" s="13">
        <v>1</v>
      </c>
      <c r="K2380" s="14" t="str">
        <f t="shared" si="413"/>
        <v>Facebook</v>
      </c>
      <c r="L2380" s="13">
        <v>508</v>
      </c>
      <c r="M2380" s="13">
        <v>1364</v>
      </c>
      <c r="N2380" s="13">
        <v>6</v>
      </c>
      <c r="O2380" s="15"/>
      <c r="P2380" s="6">
        <v>40465.47761574074</v>
      </c>
      <c r="Q2380" s="12"/>
      <c r="R2380" s="17" t="s">
        <v>7807</v>
      </c>
      <c r="S2380" s="11" t="s">
        <v>7808</v>
      </c>
      <c r="T2380" s="12"/>
      <c r="U2380" s="10" t="str">
        <f>HYPERLINK("https://pbs.twimg.com/profile_images/966988289524854789/7Fjd-IXj.jpg","View")</f>
        <v>View</v>
      </c>
    </row>
    <row r="2381" spans="1:21" ht="40.799999999999997">
      <c r="A2381" s="6">
        <v>43440.603379629625</v>
      </c>
      <c r="B2381" s="7" t="str">
        <f>HYPERLINK("https://twitter.com/ELSEISDOBLE","@ELSEISDOBLE")</f>
        <v>@ELSEISDOBLE</v>
      </c>
      <c r="C2381" s="8" t="s">
        <v>7809</v>
      </c>
      <c r="D2381" s="9" t="s">
        <v>7810</v>
      </c>
      <c r="E2381" s="10" t="str">
        <f>HYPERLINK("https://twitter.com/ELSEISDOBLE/status/1070671416872353792","1070671416872353792")</f>
        <v>1070671416872353792</v>
      </c>
      <c r="F2381" s="12"/>
      <c r="G2381" s="12"/>
      <c r="H2381" s="12"/>
      <c r="I2381" s="13">
        <v>6</v>
      </c>
      <c r="J2381" s="13">
        <v>4</v>
      </c>
      <c r="K2381" s="14" t="str">
        <f>HYPERLINK("https://about.twitter.com/products/tweetdeck","TweetDeck")</f>
        <v>TweetDeck</v>
      </c>
      <c r="L2381" s="13">
        <v>16593</v>
      </c>
      <c r="M2381" s="13">
        <v>8593</v>
      </c>
      <c r="N2381" s="13">
        <v>198</v>
      </c>
      <c r="O2381" s="15"/>
      <c r="P2381" s="6">
        <v>40688.020196759258</v>
      </c>
      <c r="Q2381" s="16" t="s">
        <v>7811</v>
      </c>
      <c r="R2381" s="17" t="s">
        <v>7812</v>
      </c>
      <c r="S2381" s="11" t="s">
        <v>7813</v>
      </c>
      <c r="T2381" s="12"/>
      <c r="U2381" s="10" t="str">
        <f>HYPERLINK("https://pbs.twimg.com/profile_images/615474750547193857/RLuiECJ0.png","View")</f>
        <v>View</v>
      </c>
    </row>
    <row r="2382" spans="1:21" ht="51">
      <c r="A2382" s="6">
        <v>43440.602974537032</v>
      </c>
      <c r="B2382" s="7" t="str">
        <f>HYPERLINK("https://twitter.com/xaviboadavila","@xaviboadavila")</f>
        <v>@xaviboadavila</v>
      </c>
      <c r="C2382" s="8" t="s">
        <v>7814</v>
      </c>
      <c r="D2382" s="9" t="s">
        <v>7815</v>
      </c>
      <c r="E2382" s="10" t="str">
        <f>HYPERLINK("https://twitter.com/xaviboadavila/status/1070671270856011776","1070671270856011776")</f>
        <v>1070671270856011776</v>
      </c>
      <c r="F2382" s="12"/>
      <c r="G2382" s="12"/>
      <c r="H2382" s="12"/>
      <c r="I2382" s="13">
        <v>0</v>
      </c>
      <c r="J2382" s="13">
        <v>0</v>
      </c>
      <c r="K2382" s="14" t="str">
        <f t="shared" ref="K2382:K2383" si="414">HYPERLINK("http://twitter.com/download/iphone","Twitter for iPhone")</f>
        <v>Twitter for iPhone</v>
      </c>
      <c r="L2382" s="13">
        <v>79813</v>
      </c>
      <c r="M2382" s="13">
        <v>76937</v>
      </c>
      <c r="N2382" s="13">
        <v>180</v>
      </c>
      <c r="O2382" s="15"/>
      <c r="P2382" s="6">
        <v>40919.726099537038</v>
      </c>
      <c r="Q2382" s="16" t="s">
        <v>7816</v>
      </c>
      <c r="R2382" s="17" t="s">
        <v>7817</v>
      </c>
      <c r="S2382" s="11" t="s">
        <v>7818</v>
      </c>
      <c r="T2382" s="12"/>
      <c r="U2382" s="10" t="str">
        <f>HYPERLINK("https://pbs.twimg.com/profile_images/471964958322728960/7Yytgae6.jpeg","View")</f>
        <v>View</v>
      </c>
    </row>
    <row r="2383" spans="1:21" ht="51">
      <c r="A2383" s="6">
        <v>43440.602905092594</v>
      </c>
      <c r="B2383" s="7" t="str">
        <f>HYPERLINK("https://twitter.com/SoriaEqsosa","@SoriaEqsosa")</f>
        <v>@SoriaEqsosa</v>
      </c>
      <c r="C2383" s="8" t="s">
        <v>7819</v>
      </c>
      <c r="D2383" s="9" t="s">
        <v>7820</v>
      </c>
      <c r="E2383" s="10" t="str">
        <f>HYPERLINK("https://twitter.com/SoriaEqsosa/status/1070671246545838080","1070671246545838080")</f>
        <v>1070671246545838080</v>
      </c>
      <c r="F2383" s="12"/>
      <c r="G2383" s="12"/>
      <c r="H2383" s="12"/>
      <c r="I2383" s="13">
        <v>0</v>
      </c>
      <c r="J2383" s="13">
        <v>1</v>
      </c>
      <c r="K2383" s="14" t="str">
        <f t="shared" si="414"/>
        <v>Twitter for iPhone</v>
      </c>
      <c r="L2383" s="13">
        <v>58</v>
      </c>
      <c r="M2383" s="13">
        <v>214</v>
      </c>
      <c r="N2383" s="13">
        <v>1</v>
      </c>
      <c r="O2383" s="15"/>
      <c r="P2383" s="6">
        <v>42453.489664351851</v>
      </c>
      <c r="Q2383" s="12"/>
      <c r="R2383" s="19"/>
      <c r="S2383" s="12"/>
      <c r="T2383" s="12"/>
      <c r="U2383" s="10" t="str">
        <f>HYPERLINK("https://pbs.twimg.com/profile_images/903308692552077313/JKZrsQil.jpg","View")</f>
        <v>View</v>
      </c>
    </row>
    <row r="2384" spans="1:21" ht="20.399999999999999">
      <c r="A2384" s="6">
        <v>43440.6018287037</v>
      </c>
      <c r="B2384" s="7" t="str">
        <f>HYPERLINK("https://twitter.com/LuisLeonardoV","@LuisLeonardoV")</f>
        <v>@LuisLeonardoV</v>
      </c>
      <c r="C2384" s="8" t="s">
        <v>4411</v>
      </c>
      <c r="D2384" s="9" t="s">
        <v>7821</v>
      </c>
      <c r="E2384" s="10" t="str">
        <f>HYPERLINK("https://twitter.com/LuisLeonardoV/status/1070670853313085440","1070670853313085440")</f>
        <v>1070670853313085440</v>
      </c>
      <c r="F2384" s="11" t="s">
        <v>7822</v>
      </c>
      <c r="G2384" s="12"/>
      <c r="H2384" s="12"/>
      <c r="I2384" s="13">
        <v>0</v>
      </c>
      <c r="J2384" s="13">
        <v>0</v>
      </c>
      <c r="K2384" s="14" t="str">
        <f>HYPERLINK("http://www.facebook.com/twitter","Facebook")</f>
        <v>Facebook</v>
      </c>
      <c r="L2384" s="13">
        <v>87</v>
      </c>
      <c r="M2384" s="13">
        <v>577</v>
      </c>
      <c r="N2384" s="13">
        <v>0</v>
      </c>
      <c r="O2384" s="15"/>
      <c r="P2384" s="6">
        <v>40799.628391203703</v>
      </c>
      <c r="Q2384" s="16" t="s">
        <v>3231</v>
      </c>
      <c r="R2384" s="17" t="s">
        <v>4412</v>
      </c>
      <c r="S2384" s="12"/>
      <c r="T2384" s="12"/>
      <c r="U2384" s="10" t="str">
        <f>HYPERLINK("https://pbs.twimg.com/profile_images/953603125646188544/vVgwuEZ6.jpg","View")</f>
        <v>View</v>
      </c>
    </row>
    <row r="2385" spans="1:21" ht="30.6">
      <c r="A2385" s="6">
        <v>43440.601631944446</v>
      </c>
      <c r="B2385" s="7" t="str">
        <f>HYPERLINK("https://twitter.com/SoniaMaica","@SoniaMaica")</f>
        <v>@SoniaMaica</v>
      </c>
      <c r="C2385" s="8" t="s">
        <v>7823</v>
      </c>
      <c r="D2385" s="9" t="s">
        <v>7084</v>
      </c>
      <c r="E2385" s="10" t="str">
        <f>HYPERLINK("https://twitter.com/SoniaMaica/status/1070670783536619520","1070670783536619520")</f>
        <v>1070670783536619520</v>
      </c>
      <c r="F2385" s="11" t="s">
        <v>4628</v>
      </c>
      <c r="G2385" s="12"/>
      <c r="H2385" s="12"/>
      <c r="I2385" s="13">
        <v>0</v>
      </c>
      <c r="J2385" s="13">
        <v>0</v>
      </c>
      <c r="K2385" s="14" t="str">
        <f>HYPERLINK("http://twitter.com/download/iphone","Twitter for iPhone")</f>
        <v>Twitter for iPhone</v>
      </c>
      <c r="L2385" s="13">
        <v>932</v>
      </c>
      <c r="M2385" s="13">
        <v>771</v>
      </c>
      <c r="N2385" s="13">
        <v>0</v>
      </c>
      <c r="O2385" s="15"/>
      <c r="P2385" s="6">
        <v>42226.248460648145</v>
      </c>
      <c r="Q2385" s="12"/>
      <c r="R2385" s="17" t="s">
        <v>7824</v>
      </c>
      <c r="S2385" s="12"/>
      <c r="T2385" s="12"/>
      <c r="U2385" s="10" t="str">
        <f>HYPERLINK("https://pbs.twimg.com/profile_images/1039671955488743424/B_2NzcTs.jpg","View")</f>
        <v>View</v>
      </c>
    </row>
    <row r="2386" spans="1:21" ht="20.399999999999999">
      <c r="A2386" s="6">
        <v>43440.601608796293</v>
      </c>
      <c r="B2386" s="7" t="str">
        <f>HYPERLINK("https://twitter.com/MofletitosKei","@MofletitosKei")</f>
        <v>@MofletitosKei</v>
      </c>
      <c r="C2386" s="8" t="s">
        <v>7825</v>
      </c>
      <c r="D2386" s="9" t="s">
        <v>7826</v>
      </c>
      <c r="E2386" s="10" t="str">
        <f>HYPERLINK("https://twitter.com/MofletitosKei/status/1070670776959938561","1070670776959938561")</f>
        <v>1070670776959938561</v>
      </c>
      <c r="F2386" s="12"/>
      <c r="G2386" s="12"/>
      <c r="H2386" s="12"/>
      <c r="I2386" s="13">
        <v>0</v>
      </c>
      <c r="J2386" s="13">
        <v>0</v>
      </c>
      <c r="K2386" s="14" t="str">
        <f>HYPERLINK("http://twitter.com/download/android","Twitter for Android")</f>
        <v>Twitter for Android</v>
      </c>
      <c r="L2386" s="13">
        <v>216</v>
      </c>
      <c r="M2386" s="13">
        <v>103</v>
      </c>
      <c r="N2386" s="13">
        <v>21</v>
      </c>
      <c r="O2386" s="15"/>
      <c r="P2386" s="6">
        <v>42677.771157407406</v>
      </c>
      <c r="Q2386" s="16" t="s">
        <v>1249</v>
      </c>
      <c r="R2386" s="17" t="s">
        <v>7827</v>
      </c>
      <c r="S2386" s="12"/>
      <c r="T2386" s="12"/>
      <c r="U2386" s="10" t="str">
        <f>HYPERLINK("https://pbs.twimg.com/profile_images/1071022843557806080/aXnXZKb0.jpg","View")</f>
        <v>View</v>
      </c>
    </row>
    <row r="2387" spans="1:21" ht="20.399999999999999">
      <c r="A2387" s="6">
        <v>43440.601446759261</v>
      </c>
      <c r="B2387" s="7" t="str">
        <f>HYPERLINK("https://twitter.com/LuisLeonardoV","@LuisLeonardoV")</f>
        <v>@LuisLeonardoV</v>
      </c>
      <c r="C2387" s="8" t="s">
        <v>4411</v>
      </c>
      <c r="D2387" s="9" t="s">
        <v>6585</v>
      </c>
      <c r="E2387" s="10" t="str">
        <f>HYPERLINK("https://twitter.com/LuisLeonardoV/status/1070670717543477249","1070670717543477249")</f>
        <v>1070670717543477249</v>
      </c>
      <c r="F2387" s="11" t="s">
        <v>432</v>
      </c>
      <c r="G2387" s="12"/>
      <c r="H2387" s="12"/>
      <c r="I2387" s="13">
        <v>0</v>
      </c>
      <c r="J2387" s="13">
        <v>0</v>
      </c>
      <c r="K2387" s="14" t="str">
        <f>HYPERLINK("http://www.facebook.com/twitter","Facebook")</f>
        <v>Facebook</v>
      </c>
      <c r="L2387" s="13">
        <v>87</v>
      </c>
      <c r="M2387" s="13">
        <v>577</v>
      </c>
      <c r="N2387" s="13">
        <v>0</v>
      </c>
      <c r="O2387" s="15"/>
      <c r="P2387" s="6">
        <v>40799.628391203703</v>
      </c>
      <c r="Q2387" s="16" t="s">
        <v>3231</v>
      </c>
      <c r="R2387" s="17" t="s">
        <v>4412</v>
      </c>
      <c r="S2387" s="12"/>
      <c r="T2387" s="12"/>
      <c r="U2387" s="10" t="str">
        <f>HYPERLINK("https://pbs.twimg.com/profile_images/953603125646188544/vVgwuEZ6.jpg","View")</f>
        <v>View</v>
      </c>
    </row>
    <row r="2388" spans="1:21" ht="13.2">
      <c r="A2388" s="6">
        <v>43440.601377314815</v>
      </c>
      <c r="B2388" s="7" t="str">
        <f>HYPERLINK("https://twitter.com/MilindaSu","@MilindaSu")</f>
        <v>@MilindaSu</v>
      </c>
      <c r="C2388" s="8" t="s">
        <v>7828</v>
      </c>
      <c r="D2388" s="9" t="s">
        <v>7829</v>
      </c>
      <c r="E2388" s="10" t="str">
        <f>HYPERLINK("https://twitter.com/MilindaSu/status/1070670690632785921","1070670690632785921")</f>
        <v>1070670690632785921</v>
      </c>
      <c r="F2388" s="11" t="s">
        <v>7830</v>
      </c>
      <c r="G2388" s="12"/>
      <c r="H2388" s="12"/>
      <c r="I2388" s="13">
        <v>1</v>
      </c>
      <c r="J2388" s="13">
        <v>1</v>
      </c>
      <c r="K2388" s="14" t="str">
        <f>HYPERLINK("http://twitter.com/download/android","Twitter for Android")</f>
        <v>Twitter for Android</v>
      </c>
      <c r="L2388" s="13">
        <v>2542</v>
      </c>
      <c r="M2388" s="13">
        <v>1626</v>
      </c>
      <c r="N2388" s="13">
        <v>8</v>
      </c>
      <c r="O2388" s="15"/>
      <c r="P2388" s="6">
        <v>40835.749340277776</v>
      </c>
      <c r="Q2388" s="16" t="s">
        <v>133</v>
      </c>
      <c r="R2388" s="19"/>
      <c r="S2388" s="12"/>
      <c r="T2388" s="12"/>
      <c r="U2388" s="10" t="str">
        <f>HYPERLINK("https://pbs.twimg.com/profile_images/1031234760104919042/8Nj89IGG.jpg","View")</f>
        <v>View</v>
      </c>
    </row>
    <row r="2389" spans="1:21" ht="30.6">
      <c r="A2389" s="6">
        <v>43440.60125</v>
      </c>
      <c r="B2389" s="7" t="str">
        <f>HYPERLINK("https://twitter.com/ChezNieto","@ChezNieto")</f>
        <v>@ChezNieto</v>
      </c>
      <c r="C2389" s="8" t="s">
        <v>42</v>
      </c>
      <c r="D2389" s="9" t="s">
        <v>7831</v>
      </c>
      <c r="E2389" s="10" t="str">
        <f>HYPERLINK("https://twitter.com/ChezNieto/status/1070670646970118144","1070670646970118144")</f>
        <v>1070670646970118144</v>
      </c>
      <c r="F2389" s="11" t="s">
        <v>7832</v>
      </c>
      <c r="G2389" s="12"/>
      <c r="H2389" s="12"/>
      <c r="I2389" s="13">
        <v>0</v>
      </c>
      <c r="J2389" s="13">
        <v>1</v>
      </c>
      <c r="K2389" s="14" t="str">
        <f>HYPERLINK("http://twitter.com","Twitter Web Client")</f>
        <v>Twitter Web Client</v>
      </c>
      <c r="L2389" s="13">
        <v>5087</v>
      </c>
      <c r="M2389" s="13">
        <v>4782</v>
      </c>
      <c r="N2389" s="13">
        <v>50</v>
      </c>
      <c r="O2389" s="15"/>
      <c r="P2389" s="6">
        <v>41341.600729166668</v>
      </c>
      <c r="Q2389" s="16" t="s">
        <v>60</v>
      </c>
      <c r="R2389" s="17" t="s">
        <v>2826</v>
      </c>
      <c r="S2389" s="12"/>
      <c r="T2389" s="12"/>
      <c r="U2389" s="10" t="str">
        <f>HYPERLINK("https://pbs.twimg.com/profile_images/3750051142/df497636f6b21e0abf733a0e65a50087.jpeg","View")</f>
        <v>View</v>
      </c>
    </row>
    <row r="2390" spans="1:21" ht="20.399999999999999">
      <c r="A2390" s="6">
        <v>43440.601226851853</v>
      </c>
      <c r="B2390" s="7" t="str">
        <f>HYPERLINK("https://twitter.com/La7_tv","@La7_tv")</f>
        <v>@La7_tv</v>
      </c>
      <c r="C2390" s="8" t="s">
        <v>7833</v>
      </c>
      <c r="D2390" s="9" t="s">
        <v>7834</v>
      </c>
      <c r="E2390" s="10" t="str">
        <f>HYPERLINK("https://twitter.com/La7_tv/status/1070670637377687552","1070670637377687552")</f>
        <v>1070670637377687552</v>
      </c>
      <c r="F2390" s="11" t="s">
        <v>7835</v>
      </c>
      <c r="G2390" s="12"/>
      <c r="H2390" s="12"/>
      <c r="I2390" s="13">
        <v>0</v>
      </c>
      <c r="J2390" s="13">
        <v>1</v>
      </c>
      <c r="K2390" s="14" t="str">
        <f t="shared" ref="K2390:K2391" si="415">HYPERLINK("https://about.twitter.com/products/tweetdeck","TweetDeck")</f>
        <v>TweetDeck</v>
      </c>
      <c r="L2390" s="13">
        <v>17016</v>
      </c>
      <c r="M2390" s="13">
        <v>917</v>
      </c>
      <c r="N2390" s="13">
        <v>148</v>
      </c>
      <c r="O2390" s="18" t="s">
        <v>41</v>
      </c>
      <c r="P2390" s="6">
        <v>42121.578182870369</v>
      </c>
      <c r="Q2390" s="16" t="s">
        <v>7464</v>
      </c>
      <c r="R2390" s="17" t="s">
        <v>7836</v>
      </c>
      <c r="S2390" s="11" t="s">
        <v>7837</v>
      </c>
      <c r="T2390" s="12"/>
      <c r="U2390" s="10" t="str">
        <f>HYPERLINK("https://pbs.twimg.com/profile_images/603859282858246144/g6JFDMsK.jpg","View")</f>
        <v>View</v>
      </c>
    </row>
    <row r="2391" spans="1:21" ht="20.399999999999999">
      <c r="A2391" s="6">
        <v>43440.600775462968</v>
      </c>
      <c r="B2391" s="7" t="str">
        <f>HYPERLINK("https://twitter.com/sumariumcom","@sumariumcom")</f>
        <v>@sumariumcom</v>
      </c>
      <c r="C2391" s="8" t="s">
        <v>4525</v>
      </c>
      <c r="D2391" s="9" t="s">
        <v>4680</v>
      </c>
      <c r="E2391" s="10" t="str">
        <f>HYPERLINK("https://twitter.com/sumariumcom/status/1070670473753702401","1070670473753702401")</f>
        <v>1070670473753702401</v>
      </c>
      <c r="F2391" s="11" t="s">
        <v>4527</v>
      </c>
      <c r="G2391" s="11" t="s">
        <v>5738</v>
      </c>
      <c r="H2391" s="12"/>
      <c r="I2391" s="13">
        <v>0</v>
      </c>
      <c r="J2391" s="13">
        <v>0</v>
      </c>
      <c r="K2391" s="14" t="str">
        <f t="shared" si="415"/>
        <v>TweetDeck</v>
      </c>
      <c r="L2391" s="13">
        <v>164401</v>
      </c>
      <c r="M2391" s="13">
        <v>996</v>
      </c>
      <c r="N2391" s="13">
        <v>1122</v>
      </c>
      <c r="O2391" s="15"/>
      <c r="P2391" s="6">
        <v>40977.809594907405</v>
      </c>
      <c r="Q2391" s="16" t="s">
        <v>4529</v>
      </c>
      <c r="R2391" s="19"/>
      <c r="S2391" s="11" t="s">
        <v>4530</v>
      </c>
      <c r="T2391" s="12"/>
      <c r="U2391" s="10" t="str">
        <f>HYPERLINK("https://pbs.twimg.com/profile_images/1061987847874469888/mok5IDTt.jpg","View")</f>
        <v>View</v>
      </c>
    </row>
    <row r="2392" spans="1:21" ht="30.6">
      <c r="A2392" s="6">
        <v>43440.600358796291</v>
      </c>
      <c r="B2392" s="7" t="str">
        <f>HYPERLINK("https://twitter.com/sextaNoticias","@sextaNoticias")</f>
        <v>@sextaNoticias</v>
      </c>
      <c r="C2392" s="8" t="s">
        <v>3791</v>
      </c>
      <c r="D2392" s="9" t="s">
        <v>7838</v>
      </c>
      <c r="E2392" s="10" t="str">
        <f>HYPERLINK("https://twitter.com/sextaNoticias/status/1070670323031441408","1070670323031441408")</f>
        <v>1070670323031441408</v>
      </c>
      <c r="F2392" s="11" t="s">
        <v>7839</v>
      </c>
      <c r="G2392" s="12"/>
      <c r="H2392" s="12"/>
      <c r="I2392" s="13">
        <v>3</v>
      </c>
      <c r="J2392" s="13">
        <v>4</v>
      </c>
      <c r="K2392" s="14" t="str">
        <f>HYPERLINK("http://dogtrack.es","DogTrack_Oficial")</f>
        <v>DogTrack_Oficial</v>
      </c>
      <c r="L2392" s="13">
        <v>1112667</v>
      </c>
      <c r="M2392" s="13">
        <v>279</v>
      </c>
      <c r="N2392" s="13">
        <v>7291</v>
      </c>
      <c r="O2392" s="18" t="s">
        <v>41</v>
      </c>
      <c r="P2392" s="6">
        <v>40099.614328703705</v>
      </c>
      <c r="Q2392" s="12"/>
      <c r="R2392" s="17" t="s">
        <v>3793</v>
      </c>
      <c r="S2392" s="11" t="s">
        <v>3794</v>
      </c>
      <c r="T2392" s="12"/>
      <c r="U2392" s="10" t="str">
        <f>HYPERLINK("https://pbs.twimg.com/profile_images/898970208551022592/hh3ITSK-.jpg","View")</f>
        <v>View</v>
      </c>
    </row>
    <row r="2393" spans="1:21" ht="30.6">
      <c r="A2393" s="6">
        <v>43440.600115740745</v>
      </c>
      <c r="B2393" s="7" t="str">
        <f>HYPERLINK("https://twitter.com/LaurenArenos","@LaurenArenos")</f>
        <v>@LaurenArenos</v>
      </c>
      <c r="C2393" s="8" t="s">
        <v>2495</v>
      </c>
      <c r="D2393" s="9" t="s">
        <v>7840</v>
      </c>
      <c r="E2393" s="10" t="str">
        <f>HYPERLINK("https://twitter.com/LaurenArenos/status/1070670233810157568","1070670233810157568")</f>
        <v>1070670233810157568</v>
      </c>
      <c r="F2393" s="11" t="s">
        <v>5682</v>
      </c>
      <c r="G2393" s="12"/>
      <c r="H2393" s="12"/>
      <c r="I2393" s="13">
        <v>0</v>
      </c>
      <c r="J2393" s="13">
        <v>0</v>
      </c>
      <c r="K2393" s="14" t="str">
        <f>HYPERLINK("http://twitter.com/download/android","Twitter for Android")</f>
        <v>Twitter for Android</v>
      </c>
      <c r="L2393" s="13">
        <v>874</v>
      </c>
      <c r="M2393" s="13">
        <v>1242</v>
      </c>
      <c r="N2393" s="13">
        <v>0</v>
      </c>
      <c r="O2393" s="15"/>
      <c r="P2393" s="6">
        <v>43268.977326388893</v>
      </c>
      <c r="Q2393" s="12"/>
      <c r="R2393" s="17" t="s">
        <v>2497</v>
      </c>
      <c r="S2393" s="12"/>
      <c r="T2393" s="12"/>
      <c r="U2393" s="10" t="str">
        <f>HYPERLINK("https://pbs.twimg.com/profile_images/1008462268663828480/RBvgbkmL.jpg","View")</f>
        <v>View</v>
      </c>
    </row>
    <row r="2394" spans="1:21" ht="40.799999999999997">
      <c r="A2394" s="6">
        <v>43440.599918981483</v>
      </c>
      <c r="B2394" s="7" t="str">
        <f>HYPERLINK("https://twitter.com/elcorreo_com","@elcorreo_com")</f>
        <v>@elcorreo_com</v>
      </c>
      <c r="C2394" s="8" t="s">
        <v>7841</v>
      </c>
      <c r="D2394" s="9" t="s">
        <v>7797</v>
      </c>
      <c r="E2394" s="10" t="str">
        <f>HYPERLINK("https://twitter.com/elcorreo_com/status/1070670162318319621","1070670162318319621")</f>
        <v>1070670162318319621</v>
      </c>
      <c r="F2394" s="11" t="s">
        <v>7422</v>
      </c>
      <c r="G2394" s="12"/>
      <c r="H2394" s="12"/>
      <c r="I2394" s="13">
        <v>0</v>
      </c>
      <c r="J2394" s="13">
        <v>0</v>
      </c>
      <c r="K2394" s="14" t="str">
        <f>HYPERLINK("https://about.twitter.com/products/tweetdeck","TweetDeck")</f>
        <v>TweetDeck</v>
      </c>
      <c r="L2394" s="13">
        <v>143363</v>
      </c>
      <c r="M2394" s="13">
        <v>491</v>
      </c>
      <c r="N2394" s="13">
        <v>1848</v>
      </c>
      <c r="O2394" s="18" t="s">
        <v>41</v>
      </c>
      <c r="P2394" s="6">
        <v>39644.784259259257</v>
      </c>
      <c r="Q2394" s="16" t="s">
        <v>1747</v>
      </c>
      <c r="R2394" s="17" t="s">
        <v>7842</v>
      </c>
      <c r="S2394" s="11" t="s">
        <v>7843</v>
      </c>
      <c r="T2394" s="12"/>
      <c r="U2394" s="10" t="str">
        <f>HYPERLINK("https://pbs.twimg.com/profile_images/922416430980698112/6-_lpzUw.jpg","View")</f>
        <v>View</v>
      </c>
    </row>
    <row r="2395" spans="1:21" ht="51">
      <c r="A2395" s="6">
        <v>43440.59983796296</v>
      </c>
      <c r="B2395" s="7" t="str">
        <f>HYPERLINK("https://twitter.com/Ismaelescuincs","@Ismaelescuincs")</f>
        <v>@Ismaelescuincs</v>
      </c>
      <c r="C2395" s="8" t="s">
        <v>4725</v>
      </c>
      <c r="D2395" s="9" t="s">
        <v>7844</v>
      </c>
      <c r="E2395" s="10" t="str">
        <f>HYPERLINK("https://twitter.com/Ismaelescuincs/status/1070670134560333825","1070670134560333825")</f>
        <v>1070670134560333825</v>
      </c>
      <c r="F2395" s="12"/>
      <c r="G2395" s="11" t="s">
        <v>7845</v>
      </c>
      <c r="H2395" s="12"/>
      <c r="I2395" s="13">
        <v>19</v>
      </c>
      <c r="J2395" s="13">
        <v>20</v>
      </c>
      <c r="K2395" s="14" t="str">
        <f>HYPERLINK("http://twitter.com/download/iphone","Twitter for iPhone")</f>
        <v>Twitter for iPhone</v>
      </c>
      <c r="L2395" s="13">
        <v>1138</v>
      </c>
      <c r="M2395" s="13">
        <v>1215</v>
      </c>
      <c r="N2395" s="13">
        <v>1</v>
      </c>
      <c r="O2395" s="15"/>
      <c r="P2395" s="6">
        <v>43085.040821759263</v>
      </c>
      <c r="Q2395" s="16" t="s">
        <v>4728</v>
      </c>
      <c r="R2395" s="17" t="s">
        <v>4729</v>
      </c>
      <c r="S2395" s="11" t="s">
        <v>4730</v>
      </c>
      <c r="T2395" s="12"/>
      <c r="U2395" s="10" t="str">
        <f>HYPERLINK("https://pbs.twimg.com/profile_images/1041730517530492928/JLvy_OFv.jpg","View")</f>
        <v>View</v>
      </c>
    </row>
    <row r="2396" spans="1:21" ht="40.799999999999997">
      <c r="A2396" s="6">
        <v>43440.599456018521</v>
      </c>
      <c r="B2396" s="7" t="str">
        <f>HYPERLINK("https://twitter.com/MariaTabarnia","@MariaTabarnia")</f>
        <v>@MariaTabarnia</v>
      </c>
      <c r="C2396" s="8" t="s">
        <v>580</v>
      </c>
      <c r="D2396" s="9" t="s">
        <v>7846</v>
      </c>
      <c r="E2396" s="10" t="str">
        <f>HYPERLINK("https://twitter.com/MariaTabarnia/status/1070669996584509440","1070669996584509440")</f>
        <v>1070669996584509440</v>
      </c>
      <c r="F2396" s="11" t="s">
        <v>7847</v>
      </c>
      <c r="G2396" s="12"/>
      <c r="H2396" s="12"/>
      <c r="I2396" s="13">
        <v>8</v>
      </c>
      <c r="J2396" s="13">
        <v>19</v>
      </c>
      <c r="K2396" s="14" t="str">
        <f>HYPERLINK("http://twitter.com/#!/download/ipad","Twitter for iPad")</f>
        <v>Twitter for iPad</v>
      </c>
      <c r="L2396" s="13">
        <v>12680</v>
      </c>
      <c r="M2396" s="13">
        <v>13834</v>
      </c>
      <c r="N2396" s="13">
        <v>55</v>
      </c>
      <c r="O2396" s="15"/>
      <c r="P2396" s="6">
        <v>41424.855567129627</v>
      </c>
      <c r="Q2396" s="16" t="s">
        <v>583</v>
      </c>
      <c r="R2396" s="17" t="s">
        <v>584</v>
      </c>
      <c r="S2396" s="12"/>
      <c r="T2396" s="12"/>
      <c r="U2396" s="10" t="str">
        <f>HYPERLINK("https://pbs.twimg.com/profile_images/906661884199391232/L9xcUYsf.jpg","View")</f>
        <v>View</v>
      </c>
    </row>
    <row r="2397" spans="1:21" ht="20.399999999999999">
      <c r="A2397" s="6">
        <v>43440.599328703705</v>
      </c>
      <c r="B2397" s="7" t="str">
        <f>HYPERLINK("https://twitter.com/moown_","@moown_")</f>
        <v>@moown_</v>
      </c>
      <c r="C2397" s="8" t="s">
        <v>7848</v>
      </c>
      <c r="D2397" s="9" t="s">
        <v>7849</v>
      </c>
      <c r="E2397" s="10" t="str">
        <f>HYPERLINK("https://twitter.com/moown_/status/1070669947876052992","1070669947876052992")</f>
        <v>1070669947876052992</v>
      </c>
      <c r="F2397" s="12"/>
      <c r="G2397" s="11" t="s">
        <v>7850</v>
      </c>
      <c r="H2397" s="12"/>
      <c r="I2397" s="13">
        <v>0</v>
      </c>
      <c r="J2397" s="13">
        <v>1</v>
      </c>
      <c r="K2397" s="14" t="str">
        <f>HYPERLINK("http://twitter.com/download/android","Twitter for Android")</f>
        <v>Twitter for Android</v>
      </c>
      <c r="L2397" s="13">
        <v>148</v>
      </c>
      <c r="M2397" s="13">
        <v>123</v>
      </c>
      <c r="N2397" s="13">
        <v>1</v>
      </c>
      <c r="O2397" s="15"/>
      <c r="P2397" s="6">
        <v>42213.050370370373</v>
      </c>
      <c r="Q2397" s="16" t="s">
        <v>7851</v>
      </c>
      <c r="R2397" s="17" t="s">
        <v>7852</v>
      </c>
      <c r="S2397" s="12"/>
      <c r="T2397" s="12"/>
      <c r="U2397" s="10" t="str">
        <f>HYPERLINK("https://pbs.twimg.com/profile_images/1037690082164137984/gpJOYBeA.jpg","View")</f>
        <v>View</v>
      </c>
    </row>
    <row r="2398" spans="1:21" ht="40.799999999999997">
      <c r="A2398" s="6">
        <v>43440.599236111113</v>
      </c>
      <c r="B2398" s="7" t="str">
        <f>HYPERLINK("https://twitter.com/lamber_2009","@lamber_2009")</f>
        <v>@lamber_2009</v>
      </c>
      <c r="C2398" s="8" t="s">
        <v>7853</v>
      </c>
      <c r="D2398" s="9" t="s">
        <v>7854</v>
      </c>
      <c r="E2398" s="10" t="str">
        <f>HYPERLINK("https://twitter.com/lamber_2009/status/1070669916473307142","1070669916473307142")</f>
        <v>1070669916473307142</v>
      </c>
      <c r="F2398" s="11" t="s">
        <v>7855</v>
      </c>
      <c r="G2398" s="12"/>
      <c r="H2398" s="12"/>
      <c r="I2398" s="13">
        <v>0</v>
      </c>
      <c r="J2398" s="13">
        <v>0</v>
      </c>
      <c r="K2398" s="14" t="str">
        <f t="shared" ref="K2398:K2399" si="416">HYPERLINK("http://www.facebook.com/twitter","Facebook")</f>
        <v>Facebook</v>
      </c>
      <c r="L2398" s="13">
        <v>668</v>
      </c>
      <c r="M2398" s="13">
        <v>728</v>
      </c>
      <c r="N2398" s="13">
        <v>13</v>
      </c>
      <c r="O2398" s="15"/>
      <c r="P2398" s="6">
        <v>40034.873564814814</v>
      </c>
      <c r="Q2398" s="16" t="s">
        <v>7856</v>
      </c>
      <c r="R2398" s="17" t="s">
        <v>7857</v>
      </c>
      <c r="S2398" s="11" t="s">
        <v>7858</v>
      </c>
      <c r="T2398" s="12"/>
      <c r="U2398" s="10" t="str">
        <f>HYPERLINK("https://pbs.twimg.com/profile_images/2724748874/d9ddec7ade8cb44dc5b3c1be99b49ed1.jpeg","View")</f>
        <v>View</v>
      </c>
    </row>
    <row r="2399" spans="1:21" ht="20.399999999999999">
      <c r="A2399" s="6">
        <v>43440.599062499998</v>
      </c>
      <c r="B2399" s="7" t="str">
        <f>HYPERLINK("https://twitter.com/LuisLeonardoV","@LuisLeonardoV")</f>
        <v>@LuisLeonardoV</v>
      </c>
      <c r="C2399" s="8" t="s">
        <v>4411</v>
      </c>
      <c r="D2399" s="9" t="s">
        <v>7859</v>
      </c>
      <c r="E2399" s="10" t="str">
        <f>HYPERLINK("https://twitter.com/LuisLeonardoV/status/1070669853709791233","1070669853709791233")</f>
        <v>1070669853709791233</v>
      </c>
      <c r="F2399" s="11" t="s">
        <v>7860</v>
      </c>
      <c r="G2399" s="12"/>
      <c r="H2399" s="12"/>
      <c r="I2399" s="13">
        <v>0</v>
      </c>
      <c r="J2399" s="13">
        <v>0</v>
      </c>
      <c r="K2399" s="14" t="str">
        <f t="shared" si="416"/>
        <v>Facebook</v>
      </c>
      <c r="L2399" s="13">
        <v>87</v>
      </c>
      <c r="M2399" s="13">
        <v>577</v>
      </c>
      <c r="N2399" s="13">
        <v>0</v>
      </c>
      <c r="O2399" s="15"/>
      <c r="P2399" s="6">
        <v>40799.628391203703</v>
      </c>
      <c r="Q2399" s="16" t="s">
        <v>3231</v>
      </c>
      <c r="R2399" s="17" t="s">
        <v>4412</v>
      </c>
      <c r="S2399" s="12"/>
      <c r="T2399" s="12"/>
      <c r="U2399" s="10" t="str">
        <f>HYPERLINK("https://pbs.twimg.com/profile_images/953603125646188544/vVgwuEZ6.jpg","View")</f>
        <v>View</v>
      </c>
    </row>
    <row r="2400" spans="1:21" ht="51">
      <c r="A2400" s="6">
        <v>43440.599027777775</v>
      </c>
      <c r="B2400" s="7" t="str">
        <f>HYPERLINK("https://twitter.com/antonio14abril","@antonio14abril")</f>
        <v>@antonio14abril</v>
      </c>
      <c r="C2400" s="8" t="s">
        <v>2557</v>
      </c>
      <c r="D2400" s="9" t="s">
        <v>7861</v>
      </c>
      <c r="E2400" s="10" t="str">
        <f>HYPERLINK("https://twitter.com/antonio14abril/status/1070669840610922496","1070669840610922496")</f>
        <v>1070669840610922496</v>
      </c>
      <c r="F2400" s="11" t="s">
        <v>6129</v>
      </c>
      <c r="G2400" s="12"/>
      <c r="H2400" s="12"/>
      <c r="I2400" s="13">
        <v>0</v>
      </c>
      <c r="J2400" s="13">
        <v>0</v>
      </c>
      <c r="K2400" s="14" t="str">
        <f t="shared" ref="K2400:K2402" si="417">HYPERLINK("http://twitter.com","Twitter Web Client")</f>
        <v>Twitter Web Client</v>
      </c>
      <c r="L2400" s="13">
        <v>1</v>
      </c>
      <c r="M2400" s="13">
        <v>4</v>
      </c>
      <c r="N2400" s="13">
        <v>0</v>
      </c>
      <c r="O2400" s="15"/>
      <c r="P2400" s="6">
        <v>41372.570092592592</v>
      </c>
      <c r="Q2400" s="12"/>
      <c r="R2400" s="17" t="s">
        <v>7862</v>
      </c>
      <c r="S2400" s="12"/>
      <c r="T2400" s="12"/>
      <c r="U2400" s="18" t="s">
        <v>67</v>
      </c>
    </row>
    <row r="2401" spans="1:21" ht="40.799999999999997">
      <c r="A2401" s="6">
        <v>43440.598483796297</v>
      </c>
      <c r="B2401" s="7" t="str">
        <f>HYPERLINK("https://twitter.com/Kojackadas","@Kojackadas")</f>
        <v>@Kojackadas</v>
      </c>
      <c r="C2401" s="8" t="s">
        <v>804</v>
      </c>
      <c r="D2401" s="9" t="s">
        <v>7863</v>
      </c>
      <c r="E2401" s="10" t="str">
        <f>HYPERLINK("https://twitter.com/Kojackadas/status/1070669641779957760","1070669641779957760")</f>
        <v>1070669641779957760</v>
      </c>
      <c r="F2401" s="12"/>
      <c r="G2401" s="11" t="s">
        <v>7864</v>
      </c>
      <c r="H2401" s="12"/>
      <c r="I2401" s="13">
        <v>0</v>
      </c>
      <c r="J2401" s="13">
        <v>0</v>
      </c>
      <c r="K2401" s="14" t="str">
        <f t="shared" si="417"/>
        <v>Twitter Web Client</v>
      </c>
      <c r="L2401" s="13">
        <v>6167</v>
      </c>
      <c r="M2401" s="13">
        <v>6760</v>
      </c>
      <c r="N2401" s="13">
        <v>26</v>
      </c>
      <c r="O2401" s="15"/>
      <c r="P2401" s="6">
        <v>41389.461724537039</v>
      </c>
      <c r="Q2401" s="16" t="s">
        <v>806</v>
      </c>
      <c r="R2401" s="17" t="s">
        <v>807</v>
      </c>
      <c r="S2401" s="11" t="s">
        <v>808</v>
      </c>
      <c r="T2401" s="12"/>
      <c r="U2401" s="10" t="str">
        <f>HYPERLINK("https://pbs.twimg.com/profile_images/3572377129/ceb12f4ec045ef03e87300a9c0b4caca.jpeg","View")</f>
        <v>View</v>
      </c>
    </row>
    <row r="2402" spans="1:21" ht="30.6">
      <c r="A2402" s="6">
        <v>43440.598275462966</v>
      </c>
      <c r="B2402" s="7" t="str">
        <f>HYPERLINK("https://twitter.com/MediodiaOC","@MediodiaOC")</f>
        <v>@MediodiaOC</v>
      </c>
      <c r="C2402" s="8" t="s">
        <v>7865</v>
      </c>
      <c r="D2402" s="9" t="s">
        <v>7866</v>
      </c>
      <c r="E2402" s="10" t="str">
        <f>HYPERLINK("https://twitter.com/MediodiaOC/status/1070669565007458305","1070669565007458305")</f>
        <v>1070669565007458305</v>
      </c>
      <c r="F2402" s="11" t="s">
        <v>7867</v>
      </c>
      <c r="G2402" s="11" t="s">
        <v>7868</v>
      </c>
      <c r="H2402" s="12"/>
      <c r="I2402" s="13">
        <v>0</v>
      </c>
      <c r="J2402" s="13">
        <v>0</v>
      </c>
      <c r="K2402" s="14" t="str">
        <f t="shared" si="417"/>
        <v>Twitter Web Client</v>
      </c>
      <c r="L2402" s="13">
        <v>6795</v>
      </c>
      <c r="M2402" s="13">
        <v>416</v>
      </c>
      <c r="N2402" s="13">
        <v>64</v>
      </c>
      <c r="O2402" s="15"/>
      <c r="P2402" s="6">
        <v>42268.657025462962</v>
      </c>
      <c r="Q2402" s="16" t="s">
        <v>60</v>
      </c>
      <c r="R2402" s="17" t="s">
        <v>7869</v>
      </c>
      <c r="S2402" s="11" t="s">
        <v>7870</v>
      </c>
      <c r="T2402" s="12"/>
      <c r="U2402" s="10" t="str">
        <f>HYPERLINK("https://pbs.twimg.com/profile_images/1051821817827139584/rG2G_Uda.jpg","View")</f>
        <v>View</v>
      </c>
    </row>
    <row r="2403" spans="1:21" ht="40.799999999999997">
      <c r="A2403" s="6">
        <v>43440.598090277781</v>
      </c>
      <c r="B2403" s="7" t="str">
        <f>HYPERLINK("https://twitter.com/juanluisgalind3","@juanluisgalind3")</f>
        <v>@juanluisgalind3</v>
      </c>
      <c r="C2403" s="8" t="s">
        <v>3420</v>
      </c>
      <c r="D2403" s="9" t="s">
        <v>7871</v>
      </c>
      <c r="E2403" s="10" t="str">
        <f>HYPERLINK("https://twitter.com/juanluisgalind3/status/1070669501535002624","1070669501535002624")</f>
        <v>1070669501535002624</v>
      </c>
      <c r="F2403" s="16" t="s">
        <v>7872</v>
      </c>
      <c r="G2403" s="12"/>
      <c r="H2403" s="12"/>
      <c r="I2403" s="13">
        <v>0</v>
      </c>
      <c r="J2403" s="13">
        <v>0</v>
      </c>
      <c r="K2403" s="14" t="str">
        <f>HYPERLINK("http://twitter.com/download/android","Twitter for Android")</f>
        <v>Twitter for Android</v>
      </c>
      <c r="L2403" s="13">
        <v>140</v>
      </c>
      <c r="M2403" s="13">
        <v>325</v>
      </c>
      <c r="N2403" s="13">
        <v>1</v>
      </c>
      <c r="O2403" s="15"/>
      <c r="P2403" s="6">
        <v>41996.79069444444</v>
      </c>
      <c r="Q2403" s="16" t="s">
        <v>3421</v>
      </c>
      <c r="R2403" s="17" t="s">
        <v>3422</v>
      </c>
      <c r="S2403" s="12"/>
      <c r="T2403" s="12"/>
      <c r="U2403" s="10" t="str">
        <f>HYPERLINK("https://pbs.twimg.com/profile_images/786949067918237697/TVBiXH89.jpg","View")</f>
        <v>View</v>
      </c>
    </row>
    <row r="2404" spans="1:21" ht="40.799999999999997">
      <c r="A2404" s="6">
        <v>43440.597858796296</v>
      </c>
      <c r="B2404" s="7" t="str">
        <f>HYPERLINK("https://twitter.com/ricard0miranda","@ricard0miranda")</f>
        <v>@ricard0miranda</v>
      </c>
      <c r="C2404" s="8" t="s">
        <v>7873</v>
      </c>
      <c r="D2404" s="9" t="s">
        <v>4459</v>
      </c>
      <c r="E2404" s="10" t="str">
        <f>HYPERLINK("https://twitter.com/ricard0miranda/status/1070669414666772480","1070669414666772480")</f>
        <v>1070669414666772480</v>
      </c>
      <c r="F2404" s="11" t="s">
        <v>2089</v>
      </c>
      <c r="G2404" s="12"/>
      <c r="H2404" s="12"/>
      <c r="I2404" s="13">
        <v>0</v>
      </c>
      <c r="J2404" s="13">
        <v>0</v>
      </c>
      <c r="K2404" s="14" t="str">
        <f>HYPERLINK("http://twitter.com","Twitter Web Client")</f>
        <v>Twitter Web Client</v>
      </c>
      <c r="L2404" s="13">
        <v>272</v>
      </c>
      <c r="M2404" s="13">
        <v>317</v>
      </c>
      <c r="N2404" s="13">
        <v>2</v>
      </c>
      <c r="O2404" s="15"/>
      <c r="P2404" s="6">
        <v>40423.535497685181</v>
      </c>
      <c r="Q2404" s="16" t="s">
        <v>1116</v>
      </c>
      <c r="R2404" s="17" t="s">
        <v>7874</v>
      </c>
      <c r="S2404" s="12"/>
      <c r="T2404" s="12"/>
      <c r="U2404" s="10" t="str">
        <f>HYPERLINK("https://pbs.twimg.com/profile_images/985119495252475906/0gRndtys.jpg","View")</f>
        <v>View</v>
      </c>
    </row>
    <row r="2405" spans="1:21" ht="40.799999999999997">
      <c r="A2405" s="6">
        <v>43440.597291666665</v>
      </c>
      <c r="B2405" s="7" t="str">
        <f>HYPERLINK("https://twitter.com/lextresabogados","@lextresabogados")</f>
        <v>@lextresabogados</v>
      </c>
      <c r="C2405" s="8" t="s">
        <v>226</v>
      </c>
      <c r="D2405" s="9" t="s">
        <v>7875</v>
      </c>
      <c r="E2405" s="10" t="str">
        <f>HYPERLINK("https://twitter.com/lextresabogados/status/1070669211171741701","1070669211171741701")</f>
        <v>1070669211171741701</v>
      </c>
      <c r="F2405" s="11" t="s">
        <v>7847</v>
      </c>
      <c r="G2405" s="12"/>
      <c r="H2405" s="12"/>
      <c r="I2405" s="13">
        <v>1</v>
      </c>
      <c r="J2405" s="13">
        <v>1</v>
      </c>
      <c r="K2405" s="14" t="str">
        <f>HYPERLINK("http://35.180.36.179","botize nueva")</f>
        <v>botize nueva</v>
      </c>
      <c r="L2405" s="13">
        <v>2912</v>
      </c>
      <c r="M2405" s="13">
        <v>3525</v>
      </c>
      <c r="N2405" s="13">
        <v>26</v>
      </c>
      <c r="O2405" s="15"/>
      <c r="P2405" s="6">
        <v>42880.770949074074</v>
      </c>
      <c r="Q2405" s="16" t="s">
        <v>230</v>
      </c>
      <c r="R2405" s="17" t="s">
        <v>231</v>
      </c>
      <c r="S2405" s="11" t="s">
        <v>232</v>
      </c>
      <c r="T2405" s="12"/>
      <c r="U2405" s="10" t="str">
        <f>HYPERLINK("https://pbs.twimg.com/profile_images/1068056978679898113/YnjKwiVy.jpg","View")</f>
        <v>View</v>
      </c>
    </row>
    <row r="2406" spans="1:21" ht="40.799999999999997">
      <c r="A2406" s="6">
        <v>43440.596909722226</v>
      </c>
      <c r="B2406" s="7" t="str">
        <f>HYPERLINK("https://twitter.com/NachoLouro","@NachoLouro")</f>
        <v>@NachoLouro</v>
      </c>
      <c r="C2406" s="8" t="s">
        <v>7876</v>
      </c>
      <c r="D2406" s="9" t="s">
        <v>7877</v>
      </c>
      <c r="E2406" s="10" t="str">
        <f>HYPERLINK("https://twitter.com/NachoLouro/status/1070669071543357441","1070669071543357441")</f>
        <v>1070669071543357441</v>
      </c>
      <c r="F2406" s="12"/>
      <c r="G2406" s="11" t="s">
        <v>7878</v>
      </c>
      <c r="H2406" s="12"/>
      <c r="I2406" s="13">
        <v>9</v>
      </c>
      <c r="J2406" s="13">
        <v>12</v>
      </c>
      <c r="K2406" s="14" t="str">
        <f>HYPERLINK("http://twitter.com/download/android","Twitter for Android")</f>
        <v>Twitter for Android</v>
      </c>
      <c r="L2406" s="13">
        <v>1785</v>
      </c>
      <c r="M2406" s="13">
        <v>2691</v>
      </c>
      <c r="N2406" s="13">
        <v>28</v>
      </c>
      <c r="O2406" s="15"/>
      <c r="P2406" s="6">
        <v>40723.584085648152</v>
      </c>
      <c r="Q2406" s="16" t="s">
        <v>7879</v>
      </c>
      <c r="R2406" s="17" t="s">
        <v>7880</v>
      </c>
      <c r="S2406" s="12"/>
      <c r="T2406" s="12"/>
      <c r="U2406" s="10" t="str">
        <f>HYPERLINK("https://pbs.twimg.com/profile_images/1047084802686562305/25RkHbs7.jpg","View")</f>
        <v>View</v>
      </c>
    </row>
    <row r="2407" spans="1:21" ht="30.6">
      <c r="A2407" s="6">
        <v>43440.596585648149</v>
      </c>
      <c r="B2407" s="7" t="str">
        <f>HYPERLINK("https://twitter.com/Liverdades","@Liverdades")</f>
        <v>@Liverdades</v>
      </c>
      <c r="C2407" s="8" t="s">
        <v>5463</v>
      </c>
      <c r="D2407" s="9" t="s">
        <v>7881</v>
      </c>
      <c r="E2407" s="10" t="str">
        <f>HYPERLINK("https://twitter.com/Liverdades/status/1070668955189014529","1070668955189014529")</f>
        <v>1070668955189014529</v>
      </c>
      <c r="F2407" s="11" t="s">
        <v>7882</v>
      </c>
      <c r="G2407" s="11" t="s">
        <v>7883</v>
      </c>
      <c r="H2407" s="12"/>
      <c r="I2407" s="13">
        <v>0</v>
      </c>
      <c r="J2407" s="13">
        <v>0</v>
      </c>
      <c r="K2407" s="14" t="str">
        <f>HYPERLINK("https://dlvrit.com/","dlvr.it")</f>
        <v>dlvr.it</v>
      </c>
      <c r="L2407" s="13">
        <v>3503</v>
      </c>
      <c r="M2407" s="13">
        <v>3470</v>
      </c>
      <c r="N2407" s="13">
        <v>68</v>
      </c>
      <c r="O2407" s="15"/>
      <c r="P2407" s="6">
        <v>41743.492881944447</v>
      </c>
      <c r="Q2407" s="16" t="s">
        <v>85</v>
      </c>
      <c r="R2407" s="17" t="s">
        <v>5466</v>
      </c>
      <c r="S2407" s="11" t="s">
        <v>5467</v>
      </c>
      <c r="T2407" s="12"/>
      <c r="U2407" s="10" t="str">
        <f>HYPERLINK("https://pbs.twimg.com/profile_images/685407826445996032/eVcXWMVo.png","View")</f>
        <v>View</v>
      </c>
    </row>
    <row r="2408" spans="1:21" ht="40.799999999999997">
      <c r="A2408" s="6">
        <v>43440.596365740741</v>
      </c>
      <c r="B2408" s="7" t="str">
        <f>HYPERLINK("https://twitter.com/ABenitez_Lopez","@ABenitez_Lopez")</f>
        <v>@ABenitez_Lopez</v>
      </c>
      <c r="C2408" s="8" t="s">
        <v>7133</v>
      </c>
      <c r="D2408" s="9" t="s">
        <v>7134</v>
      </c>
      <c r="E2408" s="10" t="str">
        <f>HYPERLINK("https://twitter.com/ABenitez_Lopez/status/1070668873698037760","1070668873698037760")</f>
        <v>1070668873698037760</v>
      </c>
      <c r="F2408" s="12"/>
      <c r="G2408" s="11" t="s">
        <v>5489</v>
      </c>
      <c r="H2408" s="12"/>
      <c r="I2408" s="13">
        <v>531</v>
      </c>
      <c r="J2408" s="13">
        <v>845</v>
      </c>
      <c r="K2408" s="14" t="str">
        <f>HYPERLINK("http://twitter.com/download/android","Twitter for Android")</f>
        <v>Twitter for Android</v>
      </c>
      <c r="L2408" s="13">
        <v>13331</v>
      </c>
      <c r="M2408" s="13">
        <v>1866</v>
      </c>
      <c r="N2408" s="13">
        <v>40</v>
      </c>
      <c r="O2408" s="15"/>
      <c r="P2408" s="6">
        <v>41427.59951388889</v>
      </c>
      <c r="Q2408" s="16" t="s">
        <v>1116</v>
      </c>
      <c r="R2408" s="17" t="s">
        <v>7136</v>
      </c>
      <c r="S2408" s="11" t="s">
        <v>7137</v>
      </c>
      <c r="T2408" s="12"/>
      <c r="U2408" s="10" t="str">
        <f>HYPERLINK("https://pbs.twimg.com/profile_images/1070498537442553856/5j4BoTNE.jpg","View")</f>
        <v>View</v>
      </c>
    </row>
    <row r="2409" spans="1:21" ht="20.399999999999999">
      <c r="A2409" s="6">
        <v>43440.595138888893</v>
      </c>
      <c r="B2409" s="7" t="str">
        <f>HYPERLINK("https://twitter.com/elconfidencial","@elconfidencial")</f>
        <v>@elconfidencial</v>
      </c>
      <c r="C2409" s="8" t="s">
        <v>542</v>
      </c>
      <c r="D2409" s="9" t="s">
        <v>7884</v>
      </c>
      <c r="E2409" s="10" t="str">
        <f>HYPERLINK("https://twitter.com/elconfidencial/status/1070668429655343104","1070668429655343104")</f>
        <v>1070668429655343104</v>
      </c>
      <c r="F2409" s="11" t="s">
        <v>7847</v>
      </c>
      <c r="G2409" s="12"/>
      <c r="H2409" s="12"/>
      <c r="I2409" s="13">
        <v>1</v>
      </c>
      <c r="J2409" s="13">
        <v>1</v>
      </c>
      <c r="K2409" s="14" t="str">
        <f>HYPERLINK("https://about.twitter.com/products/tweetdeck","TweetDeck")</f>
        <v>TweetDeck</v>
      </c>
      <c r="L2409" s="13">
        <v>765914</v>
      </c>
      <c r="M2409" s="13">
        <v>183</v>
      </c>
      <c r="N2409" s="13">
        <v>11126</v>
      </c>
      <c r="O2409" s="18" t="s">
        <v>41</v>
      </c>
      <c r="P2409" s="6">
        <v>39759.468657407408</v>
      </c>
      <c r="Q2409" s="16" t="s">
        <v>544</v>
      </c>
      <c r="R2409" s="17" t="s">
        <v>545</v>
      </c>
      <c r="S2409" s="11" t="s">
        <v>422</v>
      </c>
      <c r="T2409" s="12"/>
      <c r="U2409" s="10" t="str">
        <f>HYPERLINK("https://pbs.twimg.com/profile_images/831498645476356097/TVsVGq4W.jpg","View")</f>
        <v>View</v>
      </c>
    </row>
    <row r="2410" spans="1:21" ht="40.799999999999997">
      <c r="A2410" s="6">
        <v>43440.593310185184</v>
      </c>
      <c r="B2410" s="7" t="str">
        <f>HYPERLINK("https://twitter.com/CapRovira","@CapRovira")</f>
        <v>@CapRovira</v>
      </c>
      <c r="C2410" s="8" t="s">
        <v>3673</v>
      </c>
      <c r="D2410" s="9" t="s">
        <v>7885</v>
      </c>
      <c r="E2410" s="10" t="str">
        <f>HYPERLINK("https://twitter.com/CapRovira/status/1070667766657675264","1070667766657675264")</f>
        <v>1070667766657675264</v>
      </c>
      <c r="F2410" s="12"/>
      <c r="G2410" s="11" t="s">
        <v>7886</v>
      </c>
      <c r="H2410" s="12"/>
      <c r="I2410" s="13">
        <v>0</v>
      </c>
      <c r="J2410" s="13">
        <v>2</v>
      </c>
      <c r="K2410" s="14" t="str">
        <f>HYPERLINK("http://twitter.com/download/iphone","Twitter for iPhone")</f>
        <v>Twitter for iPhone</v>
      </c>
      <c r="L2410" s="13">
        <v>2131</v>
      </c>
      <c r="M2410" s="13">
        <v>2133</v>
      </c>
      <c r="N2410" s="13">
        <v>1</v>
      </c>
      <c r="O2410" s="15"/>
      <c r="P2410" s="6">
        <v>43222.414270833338</v>
      </c>
      <c r="Q2410" s="16" t="s">
        <v>3676</v>
      </c>
      <c r="R2410" s="17" t="s">
        <v>3677</v>
      </c>
      <c r="S2410" s="12"/>
      <c r="T2410" s="12"/>
      <c r="U2410" s="10" t="str">
        <f>HYPERLINK("https://pbs.twimg.com/profile_images/1056978855112654849/7NTgK7Db.jpg","View")</f>
        <v>View</v>
      </c>
    </row>
    <row r="2411" spans="1:21" ht="40.799999999999997">
      <c r="A2411" s="6">
        <v>43440.592847222222</v>
      </c>
      <c r="B2411" s="7" t="str">
        <f>HYPERLINK("https://twitter.com/JuanAlonsoUceda","@JuanAlonsoUceda")</f>
        <v>@JuanAlonsoUceda</v>
      </c>
      <c r="C2411" s="8" t="s">
        <v>7887</v>
      </c>
      <c r="D2411" s="9" t="s">
        <v>7888</v>
      </c>
      <c r="E2411" s="10" t="str">
        <f>HYPERLINK("https://twitter.com/JuanAlonsoUceda/status/1070667601863475204","1070667601863475204")</f>
        <v>1070667601863475204</v>
      </c>
      <c r="F2411" s="11" t="s">
        <v>6129</v>
      </c>
      <c r="G2411" s="12"/>
      <c r="H2411" s="12"/>
      <c r="I2411" s="13">
        <v>0</v>
      </c>
      <c r="J2411" s="13">
        <v>0</v>
      </c>
      <c r="K2411" s="14" t="str">
        <f>HYPERLINK("http://twitter.com","Twitter Web Client")</f>
        <v>Twitter Web Client</v>
      </c>
      <c r="L2411" s="13">
        <v>552</v>
      </c>
      <c r="M2411" s="13">
        <v>628</v>
      </c>
      <c r="N2411" s="13">
        <v>34</v>
      </c>
      <c r="O2411" s="15"/>
      <c r="P2411" s="6">
        <v>41104.924097222218</v>
      </c>
      <c r="Q2411" s="16" t="s">
        <v>85</v>
      </c>
      <c r="R2411" s="17" t="s">
        <v>7889</v>
      </c>
      <c r="S2411" s="12"/>
      <c r="T2411" s="12"/>
      <c r="U2411" s="10" t="str">
        <f>HYPERLINK("https://pbs.twimg.com/profile_images/551769292966854657/73vg1Bai.jpeg","View")</f>
        <v>View</v>
      </c>
    </row>
    <row r="2412" spans="1:21" ht="30.6">
      <c r="A2412" s="6">
        <v>43440.59275462963</v>
      </c>
      <c r="B2412" s="7" t="str">
        <f>HYPERLINK("https://twitter.com/vmgon","@vmgon")</f>
        <v>@vmgon</v>
      </c>
      <c r="C2412" s="8" t="s">
        <v>7890</v>
      </c>
      <c r="D2412" s="9" t="s">
        <v>7891</v>
      </c>
      <c r="E2412" s="10" t="str">
        <f>HYPERLINK("https://twitter.com/vmgon/status/1070667567507931136","1070667567507931136")</f>
        <v>1070667567507931136</v>
      </c>
      <c r="F2412" s="12"/>
      <c r="G2412" s="12"/>
      <c r="H2412" s="12"/>
      <c r="I2412" s="13">
        <v>0</v>
      </c>
      <c r="J2412" s="13">
        <v>0</v>
      </c>
      <c r="K2412" s="14" t="str">
        <f>HYPERLINK("http://twitter.com/download/android","Twitter for Android")</f>
        <v>Twitter for Android</v>
      </c>
      <c r="L2412" s="13">
        <v>332</v>
      </c>
      <c r="M2412" s="13">
        <v>983</v>
      </c>
      <c r="N2412" s="13">
        <v>5</v>
      </c>
      <c r="O2412" s="15"/>
      <c r="P2412" s="6">
        <v>40235.68136574074</v>
      </c>
      <c r="Q2412" s="16" t="s">
        <v>7892</v>
      </c>
      <c r="R2412" s="19"/>
      <c r="S2412" s="12"/>
      <c r="T2412" s="12"/>
      <c r="U2412" s="10" t="str">
        <f>HYPERLINK("https://pbs.twimg.com/profile_images/973169857586978816/jqRo_s0G.jpg","View")</f>
        <v>View</v>
      </c>
    </row>
    <row r="2413" spans="1:21" ht="40.799999999999997">
      <c r="A2413" s="6">
        <v>43440.592662037037</v>
      </c>
      <c r="B2413" s="7" t="str">
        <f>HYPERLINK("https://twitter.com/felipealvarz","@felipealvarz")</f>
        <v>@felipealvarz</v>
      </c>
      <c r="C2413" s="8" t="s">
        <v>7893</v>
      </c>
      <c r="D2413" s="9" t="s">
        <v>7894</v>
      </c>
      <c r="E2413" s="10" t="str">
        <f>HYPERLINK("https://twitter.com/felipealvarz/status/1070667534280650752","1070667534280650752")</f>
        <v>1070667534280650752</v>
      </c>
      <c r="F2413" s="11" t="s">
        <v>2214</v>
      </c>
      <c r="G2413" s="12"/>
      <c r="H2413" s="12"/>
      <c r="I2413" s="13">
        <v>0</v>
      </c>
      <c r="J2413" s="13">
        <v>0</v>
      </c>
      <c r="K2413" s="14" t="str">
        <f>HYPERLINK("http://twitter.com/download/iphone","Twitter for iPhone")</f>
        <v>Twitter for iPhone</v>
      </c>
      <c r="L2413" s="13">
        <v>42</v>
      </c>
      <c r="M2413" s="13">
        <v>120</v>
      </c>
      <c r="N2413" s="13">
        <v>3</v>
      </c>
      <c r="O2413" s="15"/>
      <c r="P2413" s="6">
        <v>43122.663738425923</v>
      </c>
      <c r="Q2413" s="16" t="s">
        <v>60</v>
      </c>
      <c r="R2413" s="19"/>
      <c r="S2413" s="12"/>
      <c r="T2413" s="12"/>
      <c r="U2413" s="10" t="str">
        <f>HYPERLINK("https://pbs.twimg.com/profile_images/1047490183426465792/Qp322PzW.jpg","View")</f>
        <v>View</v>
      </c>
    </row>
    <row r="2414" spans="1:21" ht="40.799999999999997">
      <c r="A2414" s="6">
        <v>43440.592627314814</v>
      </c>
      <c r="B2414" s="7" t="str">
        <f>HYPERLINK("https://twitter.com/JuanAlonsoUceda","@JuanAlonsoUceda")</f>
        <v>@JuanAlonsoUceda</v>
      </c>
      <c r="C2414" s="8" t="s">
        <v>7887</v>
      </c>
      <c r="D2414" s="9" t="s">
        <v>7895</v>
      </c>
      <c r="E2414" s="10" t="str">
        <f>HYPERLINK("https://twitter.com/JuanAlonsoUceda/status/1070667521559330817","1070667521559330817")</f>
        <v>1070667521559330817</v>
      </c>
      <c r="F2414" s="11" t="s">
        <v>6129</v>
      </c>
      <c r="G2414" s="12"/>
      <c r="H2414" s="12"/>
      <c r="I2414" s="13">
        <v>0</v>
      </c>
      <c r="J2414" s="13">
        <v>0</v>
      </c>
      <c r="K2414" s="14" t="str">
        <f>HYPERLINK("http://twitter.com","Twitter Web Client")</f>
        <v>Twitter Web Client</v>
      </c>
      <c r="L2414" s="13">
        <v>552</v>
      </c>
      <c r="M2414" s="13">
        <v>628</v>
      </c>
      <c r="N2414" s="13">
        <v>34</v>
      </c>
      <c r="O2414" s="15"/>
      <c r="P2414" s="6">
        <v>41104.924097222218</v>
      </c>
      <c r="Q2414" s="16" t="s">
        <v>85</v>
      </c>
      <c r="R2414" s="17" t="s">
        <v>7889</v>
      </c>
      <c r="S2414" s="12"/>
      <c r="T2414" s="12"/>
      <c r="U2414" s="10" t="str">
        <f>HYPERLINK("https://pbs.twimg.com/profile_images/551769292966854657/73vg1Bai.jpeg","View")</f>
        <v>View</v>
      </c>
    </row>
    <row r="2415" spans="1:21" ht="51">
      <c r="A2415" s="6">
        <v>43440.592557870375</v>
      </c>
      <c r="B2415" s="7" t="str">
        <f>HYPERLINK("https://twitter.com/pandoraenlared","@pandoraenlared")</f>
        <v>@pandoraenlared</v>
      </c>
      <c r="C2415" s="8" t="s">
        <v>7896</v>
      </c>
      <c r="D2415" s="9" t="s">
        <v>7897</v>
      </c>
      <c r="E2415" s="10" t="str">
        <f>HYPERLINK("https://twitter.com/pandoraenlared/status/1070667493402906624","1070667493402906624")</f>
        <v>1070667493402906624</v>
      </c>
      <c r="F2415" s="12"/>
      <c r="G2415" s="12"/>
      <c r="H2415" s="12"/>
      <c r="I2415" s="13">
        <v>0</v>
      </c>
      <c r="J2415" s="13">
        <v>1</v>
      </c>
      <c r="K2415" s="14" t="str">
        <f t="shared" ref="K2415:K2416" si="418">HYPERLINK("http://twitter.com/download/iphone","Twitter for iPhone")</f>
        <v>Twitter for iPhone</v>
      </c>
      <c r="L2415" s="13">
        <v>271</v>
      </c>
      <c r="M2415" s="13">
        <v>313</v>
      </c>
      <c r="N2415" s="13">
        <v>33</v>
      </c>
      <c r="O2415" s="15"/>
      <c r="P2415" s="6">
        <v>40452.961226851854</v>
      </c>
      <c r="Q2415" s="16" t="s">
        <v>60</v>
      </c>
      <c r="R2415" s="17" t="s">
        <v>7898</v>
      </c>
      <c r="S2415" s="11" t="s">
        <v>7899</v>
      </c>
      <c r="T2415" s="12"/>
      <c r="U2415" s="10" t="str">
        <f>HYPERLINK("https://pbs.twimg.com/profile_images/911613137459216386/z7VJo0A-.jpg","View")</f>
        <v>View</v>
      </c>
    </row>
    <row r="2416" spans="1:21" ht="40.799999999999997">
      <c r="A2416" s="6">
        <v>43440.592361111107</v>
      </c>
      <c r="B2416" s="7" t="str">
        <f>HYPERLINK("https://twitter.com/dgpastor","@dgpastor")</f>
        <v>@dgpastor</v>
      </c>
      <c r="C2416" s="8" t="s">
        <v>7900</v>
      </c>
      <c r="D2416" s="9" t="s">
        <v>7901</v>
      </c>
      <c r="E2416" s="10" t="str">
        <f>HYPERLINK("https://twitter.com/dgpastor/status/1070667425211969536","1070667425211969536")</f>
        <v>1070667425211969536</v>
      </c>
      <c r="F2416" s="11" t="s">
        <v>7902</v>
      </c>
      <c r="G2416" s="11" t="s">
        <v>7903</v>
      </c>
      <c r="H2416" s="12"/>
      <c r="I2416" s="13">
        <v>0</v>
      </c>
      <c r="J2416" s="13">
        <v>0</v>
      </c>
      <c r="K2416" s="14" t="str">
        <f t="shared" si="418"/>
        <v>Twitter for iPhone</v>
      </c>
      <c r="L2416" s="13">
        <v>3748</v>
      </c>
      <c r="M2416" s="13">
        <v>843</v>
      </c>
      <c r="N2416" s="13">
        <v>199</v>
      </c>
      <c r="O2416" s="15"/>
      <c r="P2416" s="6">
        <v>40038.451296296298</v>
      </c>
      <c r="Q2416" s="16" t="s">
        <v>7904</v>
      </c>
      <c r="R2416" s="17" t="s">
        <v>7905</v>
      </c>
      <c r="S2416" s="11" t="s">
        <v>7906</v>
      </c>
      <c r="T2416" s="12"/>
      <c r="U2416" s="10" t="str">
        <f>HYPERLINK("https://pbs.twimg.com/profile_images/1053386326370869248/tZ0p-OML.jpg","View")</f>
        <v>View</v>
      </c>
    </row>
    <row r="2417" spans="1:21" ht="40.799999999999997">
      <c r="A2417" s="6">
        <v>43440.591365740736</v>
      </c>
      <c r="B2417" s="7" t="str">
        <f>HYPERLINK("https://twitter.com/ANTPODEMOS","@ANTPODEMOS")</f>
        <v>@ANTPODEMOS</v>
      </c>
      <c r="C2417" s="8" t="s">
        <v>741</v>
      </c>
      <c r="D2417" s="9" t="s">
        <v>7907</v>
      </c>
      <c r="E2417" s="10" t="str">
        <f>HYPERLINK("https://twitter.com/ANTPODEMOS/status/1070667064912830464","1070667064912830464")</f>
        <v>1070667064912830464</v>
      </c>
      <c r="F2417" s="11" t="s">
        <v>6283</v>
      </c>
      <c r="G2417" s="12"/>
      <c r="H2417" s="12"/>
      <c r="I2417" s="13">
        <v>3</v>
      </c>
      <c r="J2417" s="13">
        <v>2</v>
      </c>
      <c r="K2417" s="14" t="str">
        <f>HYPERLINK("http://www.facebook.com/twitter","Facebook")</f>
        <v>Facebook</v>
      </c>
      <c r="L2417" s="13">
        <v>5585</v>
      </c>
      <c r="M2417" s="13">
        <v>426</v>
      </c>
      <c r="N2417" s="13">
        <v>58</v>
      </c>
      <c r="O2417" s="15"/>
      <c r="P2417" s="6">
        <v>41956.204837962963</v>
      </c>
      <c r="Q2417" s="16" t="s">
        <v>60</v>
      </c>
      <c r="R2417" s="17" t="s">
        <v>744</v>
      </c>
      <c r="S2417" s="11" t="s">
        <v>745</v>
      </c>
      <c r="T2417" s="12"/>
      <c r="U2417" s="10" t="str">
        <f>HYPERLINK("https://pbs.twimg.com/profile_images/952681544224854017/rVAhotfW.jpg","View")</f>
        <v>View</v>
      </c>
    </row>
    <row r="2418" spans="1:21" ht="30.6">
      <c r="A2418" s="6">
        <v>43440.591041666667</v>
      </c>
      <c r="B2418" s="7" t="str">
        <f>HYPERLINK("https://twitter.com/MarianoPlanells","@MarianoPlanells")</f>
        <v>@MarianoPlanells</v>
      </c>
      <c r="C2418" s="8" t="s">
        <v>258</v>
      </c>
      <c r="D2418" s="9" t="s">
        <v>7908</v>
      </c>
      <c r="E2418" s="10" t="str">
        <f>HYPERLINK("https://twitter.com/MarianoPlanells/status/1070666943605161984","1070666943605161984")</f>
        <v>1070666943605161984</v>
      </c>
      <c r="F2418" s="11" t="s">
        <v>4628</v>
      </c>
      <c r="G2418" s="12"/>
      <c r="H2418" s="12"/>
      <c r="I2418" s="13">
        <v>6</v>
      </c>
      <c r="J2418" s="13">
        <v>5</v>
      </c>
      <c r="K2418" s="14" t="str">
        <f>HYPERLINK("http://twitter.com","Twitter Web Client")</f>
        <v>Twitter Web Client</v>
      </c>
      <c r="L2418" s="13">
        <v>3815</v>
      </c>
      <c r="M2418" s="13">
        <v>138</v>
      </c>
      <c r="N2418" s="13">
        <v>157</v>
      </c>
      <c r="O2418" s="15"/>
      <c r="P2418" s="6">
        <v>40117.787372685183</v>
      </c>
      <c r="Q2418" s="16" t="s">
        <v>119</v>
      </c>
      <c r="R2418" s="17" t="s">
        <v>265</v>
      </c>
      <c r="S2418" s="11" t="s">
        <v>266</v>
      </c>
      <c r="T2418" s="12"/>
      <c r="U2418" s="10" t="str">
        <f>HYPERLINK("https://pbs.twimg.com/profile_images/984841371268931589/D_RuxUWa.jpg","View")</f>
        <v>View</v>
      </c>
    </row>
    <row r="2419" spans="1:21" ht="30.6">
      <c r="A2419" s="6">
        <v>43440.590740740736</v>
      </c>
      <c r="B2419" s="7" t="str">
        <f>HYPERLINK("https://twitter.com/Correonero","@Correonero")</f>
        <v>@Correonero</v>
      </c>
      <c r="C2419" s="8" t="s">
        <v>7909</v>
      </c>
      <c r="D2419" s="9" t="s">
        <v>7910</v>
      </c>
      <c r="E2419" s="10" t="str">
        <f>HYPERLINK("https://twitter.com/Correonero/status/1070666837216641025","1070666837216641025")</f>
        <v>1070666837216641025</v>
      </c>
      <c r="F2419" s="12"/>
      <c r="G2419" s="12"/>
      <c r="H2419" s="12"/>
      <c r="I2419" s="13">
        <v>0</v>
      </c>
      <c r="J2419" s="13">
        <v>3</v>
      </c>
      <c r="K2419" s="14" t="str">
        <f>HYPERLINK("http://twitter.com/download/iphone","Twitter for iPhone")</f>
        <v>Twitter for iPhone</v>
      </c>
      <c r="L2419" s="13">
        <v>877</v>
      </c>
      <c r="M2419" s="13">
        <v>701</v>
      </c>
      <c r="N2419" s="13">
        <v>26</v>
      </c>
      <c r="O2419" s="15"/>
      <c r="P2419" s="6">
        <v>40197.945254629631</v>
      </c>
      <c r="Q2419" s="16" t="s">
        <v>710</v>
      </c>
      <c r="R2419" s="19"/>
      <c r="S2419" s="12"/>
      <c r="T2419" s="12"/>
      <c r="U2419" s="10" t="str">
        <f>HYPERLINK("https://pbs.twimg.com/profile_images/630805221795565568/kCqCtTuT.jpg","View")</f>
        <v>View</v>
      </c>
    </row>
    <row r="2420" spans="1:21" ht="20.399999999999999">
      <c r="A2420" s="6">
        <v>43440.590555555551</v>
      </c>
      <c r="B2420" s="7" t="str">
        <f>HYPERLINK("https://twitter.com/mteresafacigil","@mteresafacigil")</f>
        <v>@mteresafacigil</v>
      </c>
      <c r="C2420" s="8" t="s">
        <v>7911</v>
      </c>
      <c r="D2420" s="9" t="s">
        <v>7912</v>
      </c>
      <c r="E2420" s="10" t="str">
        <f>HYPERLINK("https://twitter.com/mteresafacigil/status/1070666769990332416","1070666769990332416")</f>
        <v>1070666769990332416</v>
      </c>
      <c r="F2420" s="12"/>
      <c r="G2420" s="12"/>
      <c r="H2420" s="12"/>
      <c r="I2420" s="13">
        <v>0</v>
      </c>
      <c r="J2420" s="13">
        <v>0</v>
      </c>
      <c r="K2420" s="14" t="str">
        <f>HYPERLINK("http://twitter.com/#!/download/ipad","Twitter for iPad")</f>
        <v>Twitter for iPad</v>
      </c>
      <c r="L2420" s="13">
        <v>23</v>
      </c>
      <c r="M2420" s="13">
        <v>44</v>
      </c>
      <c r="N2420" s="13">
        <v>0</v>
      </c>
      <c r="O2420" s="15"/>
      <c r="P2420" s="6">
        <v>40877.835046296299</v>
      </c>
      <c r="Q2420" s="12"/>
      <c r="R2420" s="19"/>
      <c r="S2420" s="12"/>
      <c r="T2420" s="12"/>
      <c r="U2420" s="10" t="str">
        <f>HYPERLINK("https://pbs.twimg.com/profile_images/793153350434947072/Lyt7f6oi.jpg","View")</f>
        <v>View</v>
      </c>
    </row>
    <row r="2421" spans="1:21" ht="51">
      <c r="A2421" s="6">
        <v>43440.589907407411</v>
      </c>
      <c r="B2421" s="7" t="str">
        <f>HYPERLINK("https://twitter.com/ATOPOLO","@ATOPOLO")</f>
        <v>@ATOPOLO</v>
      </c>
      <c r="C2421" s="8" t="s">
        <v>7913</v>
      </c>
      <c r="D2421" s="9" t="s">
        <v>7914</v>
      </c>
      <c r="E2421" s="10" t="str">
        <f>HYPERLINK("https://twitter.com/ATOPOLO/status/1070666536547954688","1070666536547954688")</f>
        <v>1070666536547954688</v>
      </c>
      <c r="F2421" s="11" t="s">
        <v>6925</v>
      </c>
      <c r="G2421" s="11" t="s">
        <v>7915</v>
      </c>
      <c r="H2421" s="12"/>
      <c r="I2421" s="13">
        <v>0</v>
      </c>
      <c r="J2421" s="13">
        <v>0</v>
      </c>
      <c r="K2421" s="14" t="str">
        <f>HYPERLINK("http://twitter.com/download/android","Twitter for Android")</f>
        <v>Twitter for Android</v>
      </c>
      <c r="L2421" s="13">
        <v>244</v>
      </c>
      <c r="M2421" s="13">
        <v>286</v>
      </c>
      <c r="N2421" s="13">
        <v>8</v>
      </c>
      <c r="O2421" s="15"/>
      <c r="P2421" s="6">
        <v>40522.002175925925</v>
      </c>
      <c r="Q2421" s="16" t="s">
        <v>60</v>
      </c>
      <c r="R2421" s="17" t="s">
        <v>7916</v>
      </c>
      <c r="S2421" s="11" t="s">
        <v>7917</v>
      </c>
      <c r="T2421" s="12"/>
      <c r="U2421" s="10" t="str">
        <f>HYPERLINK("https://pbs.twimg.com/profile_images/822850608873017345/y3hTX8NL.jpg","View")</f>
        <v>View</v>
      </c>
    </row>
    <row r="2422" spans="1:21" ht="20.399999999999999">
      <c r="A2422" s="6">
        <v>43440.589606481481</v>
      </c>
      <c r="B2422" s="7" t="str">
        <f>HYPERLINK("https://twitter.com/EP_Mundo","@EP_Mundo")</f>
        <v>@EP_Mundo</v>
      </c>
      <c r="C2422" s="8" t="s">
        <v>735</v>
      </c>
      <c r="D2422" s="9" t="s">
        <v>2756</v>
      </c>
      <c r="E2422" s="10" t="str">
        <f>HYPERLINK("https://twitter.com/EP_Mundo/status/1070666424752971777","1070666424752971777")</f>
        <v>1070666424752971777</v>
      </c>
      <c r="F2422" s="11" t="s">
        <v>2757</v>
      </c>
      <c r="G2422" s="11" t="s">
        <v>7918</v>
      </c>
      <c r="H2422" s="12"/>
      <c r="I2422" s="13">
        <v>0</v>
      </c>
      <c r="J2422" s="13">
        <v>0</v>
      </c>
      <c r="K2422" s="14" t="str">
        <f>HYPERLINK("http://epmundo.com","Tuiteo TOP EP (2)")</f>
        <v>Tuiteo TOP EP (2)</v>
      </c>
      <c r="L2422" s="13">
        <v>510220</v>
      </c>
      <c r="M2422" s="13">
        <v>301867</v>
      </c>
      <c r="N2422" s="13">
        <v>1363</v>
      </c>
      <c r="O2422" s="15"/>
      <c r="P2422" s="6">
        <v>40203.223078703704</v>
      </c>
      <c r="Q2422" s="12"/>
      <c r="R2422" s="17" t="s">
        <v>739</v>
      </c>
      <c r="S2422" s="11" t="s">
        <v>740</v>
      </c>
      <c r="T2422" s="12"/>
      <c r="U2422" s="10" t="str">
        <f>HYPERLINK("https://pbs.twimg.com/profile_images/958329583778099200/87-xiuzB.jpg","View")</f>
        <v>View</v>
      </c>
    </row>
    <row r="2423" spans="1:21" ht="30.6">
      <c r="A2423" s="6">
        <v>43440.58798611111</v>
      </c>
      <c r="B2423" s="7" t="str">
        <f>HYPERLINK("https://twitter.com/periodicovzlano","@periodicovzlano")</f>
        <v>@periodicovzlano</v>
      </c>
      <c r="C2423" s="8" t="s">
        <v>869</v>
      </c>
      <c r="D2423" s="9" t="s">
        <v>3001</v>
      </c>
      <c r="E2423" s="10" t="str">
        <f>HYPERLINK("https://twitter.com/periodicovzlano/status/1070665838246662145","1070665838246662145")</f>
        <v>1070665838246662145</v>
      </c>
      <c r="F2423" s="11" t="s">
        <v>2757</v>
      </c>
      <c r="G2423" s="11" t="s">
        <v>7919</v>
      </c>
      <c r="H2423" s="12"/>
      <c r="I2423" s="13">
        <v>1</v>
      </c>
      <c r="J2423" s="13">
        <v>1</v>
      </c>
      <c r="K2423" s="14" t="str">
        <f>HYPERLINK("http://epmundo.com","Tuiteo TOP EP (1)")</f>
        <v>Tuiteo TOP EP (1)</v>
      </c>
      <c r="L2423" s="13">
        <v>479694</v>
      </c>
      <c r="M2423" s="13">
        <v>358804</v>
      </c>
      <c r="N2423" s="13">
        <v>1295</v>
      </c>
      <c r="O2423" s="15"/>
      <c r="P2423" s="6">
        <v>40663.3512962963</v>
      </c>
      <c r="Q2423" s="16" t="s">
        <v>871</v>
      </c>
      <c r="R2423" s="17" t="s">
        <v>872</v>
      </c>
      <c r="S2423" s="11" t="s">
        <v>873</v>
      </c>
      <c r="T2423" s="12"/>
      <c r="U2423" s="10" t="str">
        <f>HYPERLINK("https://pbs.twimg.com/profile_images/958328579250638849/MCz7Q8U6.jpg","View")</f>
        <v>View</v>
      </c>
    </row>
    <row r="2424" spans="1:21" ht="40.799999999999997">
      <c r="A2424" s="6">
        <v>43440.587372685186</v>
      </c>
      <c r="B2424" s="7" t="str">
        <f>HYPERLINK("https://twitter.com/twiteoElTocuyo","@twiteoElTocuyo")</f>
        <v>@twiteoElTocuyo</v>
      </c>
      <c r="C2424" s="8" t="s">
        <v>7920</v>
      </c>
      <c r="D2424" s="9" t="s">
        <v>4680</v>
      </c>
      <c r="E2424" s="10" t="str">
        <f>HYPERLINK("https://twitter.com/twiteoElTocuyo/status/1070665614455394304","1070665614455394304")</f>
        <v>1070665614455394304</v>
      </c>
      <c r="F2424" s="11" t="s">
        <v>7921</v>
      </c>
      <c r="G2424" s="12"/>
      <c r="H2424" s="12"/>
      <c r="I2424" s="13">
        <v>0</v>
      </c>
      <c r="J2424" s="13">
        <v>0</v>
      </c>
      <c r="K2424" s="14" t="str">
        <f>HYPERLINK("https://ifttt.com","IFTTT")</f>
        <v>IFTTT</v>
      </c>
      <c r="L2424" s="13">
        <v>16376</v>
      </c>
      <c r="M2424" s="13">
        <v>8656</v>
      </c>
      <c r="N2424" s="13">
        <v>63</v>
      </c>
      <c r="O2424" s="15"/>
      <c r="P2424" s="6">
        <v>40502.306018518517</v>
      </c>
      <c r="Q2424" s="16" t="s">
        <v>7922</v>
      </c>
      <c r="R2424" s="17" t="s">
        <v>7923</v>
      </c>
      <c r="S2424" s="11" t="s">
        <v>7924</v>
      </c>
      <c r="T2424" s="12"/>
      <c r="U2424" s="10" t="str">
        <f>HYPERLINK("https://pbs.twimg.com/profile_images/1665349112/twiteoeltocuyo.jpg","View")</f>
        <v>View</v>
      </c>
    </row>
    <row r="2425" spans="1:21" ht="20.399999999999999">
      <c r="A2425" s="6">
        <v>43440.587233796294</v>
      </c>
      <c r="B2425" s="7" t="str">
        <f>HYPERLINK("https://twitter.com/zoevaldes","@zoevaldes")</f>
        <v>@zoevaldes</v>
      </c>
      <c r="C2425" s="8" t="s">
        <v>7925</v>
      </c>
      <c r="D2425" s="9" t="s">
        <v>6958</v>
      </c>
      <c r="E2425" s="10" t="str">
        <f>HYPERLINK("https://twitter.com/zoevaldes/status/1070665567055560704","1070665567055560704")</f>
        <v>1070665567055560704</v>
      </c>
      <c r="F2425" s="11" t="s">
        <v>7926</v>
      </c>
      <c r="G2425" s="11" t="s">
        <v>7927</v>
      </c>
      <c r="H2425" s="12"/>
      <c r="I2425" s="13">
        <v>1</v>
      </c>
      <c r="J2425" s="13">
        <v>2</v>
      </c>
      <c r="K2425" s="14" t="str">
        <f>HYPERLINK("http://publicize.wp.com/","WordPress.com")</f>
        <v>WordPress.com</v>
      </c>
      <c r="L2425" s="13">
        <v>15081</v>
      </c>
      <c r="M2425" s="13">
        <v>9625</v>
      </c>
      <c r="N2425" s="13">
        <v>370</v>
      </c>
      <c r="O2425" s="15"/>
      <c r="P2425" s="6">
        <v>39888.000300925924</v>
      </c>
      <c r="Q2425" s="16" t="s">
        <v>7928</v>
      </c>
      <c r="R2425" s="17" t="s">
        <v>7929</v>
      </c>
      <c r="S2425" s="11" t="s">
        <v>7930</v>
      </c>
      <c r="T2425" s="12"/>
      <c r="U2425" s="10" t="str">
        <f>HYPERLINK("https://pbs.twimg.com/profile_images/2716496227/ca8fbc9d092586acf56898f89e294bc9.jpeg","View")</f>
        <v>View</v>
      </c>
    </row>
    <row r="2426" spans="1:21" ht="40.799999999999997">
      <c r="A2426" s="6">
        <v>43440.587025462963</v>
      </c>
      <c r="B2426" s="7" t="str">
        <f>HYPERLINK("https://twitter.com/Olgag90","@Olgag90")</f>
        <v>@Olgag90</v>
      </c>
      <c r="C2426" s="8" t="s">
        <v>7931</v>
      </c>
      <c r="D2426" s="9" t="s">
        <v>5023</v>
      </c>
      <c r="E2426" s="10" t="str">
        <f>HYPERLINK("https://twitter.com/Olgag90/status/1070665491298029568","1070665491298029568")</f>
        <v>1070665491298029568</v>
      </c>
      <c r="F2426" s="11" t="s">
        <v>4280</v>
      </c>
      <c r="G2426" s="12"/>
      <c r="H2426" s="12"/>
      <c r="I2426" s="13">
        <v>0</v>
      </c>
      <c r="J2426" s="13">
        <v>0</v>
      </c>
      <c r="K2426" s="14" t="str">
        <f>HYPERLINK("http://twitter.com/download/android","Twitter for Android")</f>
        <v>Twitter for Android</v>
      </c>
      <c r="L2426" s="13">
        <v>763</v>
      </c>
      <c r="M2426" s="13">
        <v>664</v>
      </c>
      <c r="N2426" s="13">
        <v>7</v>
      </c>
      <c r="O2426" s="15"/>
      <c r="P2426" s="6">
        <v>40488.885231481479</v>
      </c>
      <c r="Q2426" s="16" t="s">
        <v>87</v>
      </c>
      <c r="R2426" s="17" t="s">
        <v>7932</v>
      </c>
      <c r="S2426" s="12"/>
      <c r="T2426" s="12"/>
      <c r="U2426" s="10" t="str">
        <f>HYPERLINK("https://pbs.twimg.com/profile_images/994568050849533952/4Eq-aSdf.jpg","View")</f>
        <v>View</v>
      </c>
    </row>
    <row r="2427" spans="1:21" ht="30.6">
      <c r="A2427" s="6">
        <v>43440.586851851855</v>
      </c>
      <c r="B2427" s="7" t="str">
        <f>HYPERLINK("https://twitter.com/AmparoRubiales","@AmparoRubiales")</f>
        <v>@AmparoRubiales</v>
      </c>
      <c r="C2427" s="8" t="s">
        <v>1263</v>
      </c>
      <c r="D2427" s="9" t="s">
        <v>7933</v>
      </c>
      <c r="E2427" s="10" t="str">
        <f>HYPERLINK("https://twitter.com/AmparoRubiales/status/1070665425896255488","1070665425896255488")</f>
        <v>1070665425896255488</v>
      </c>
      <c r="F2427" s="11" t="s">
        <v>398</v>
      </c>
      <c r="G2427" s="12"/>
      <c r="H2427" s="12"/>
      <c r="I2427" s="13">
        <v>0</v>
      </c>
      <c r="J2427" s="13">
        <v>1</v>
      </c>
      <c r="K2427" s="14" t="str">
        <f>HYPERLINK("http://twitter.com/#!/download/ipad","Twitter for iPad")</f>
        <v>Twitter for iPad</v>
      </c>
      <c r="L2427" s="13">
        <v>13769</v>
      </c>
      <c r="M2427" s="13">
        <v>2606</v>
      </c>
      <c r="N2427" s="13">
        <v>268</v>
      </c>
      <c r="O2427" s="15"/>
      <c r="P2427" s="6">
        <v>40687.533900462964</v>
      </c>
      <c r="Q2427" s="12"/>
      <c r="R2427" s="17" t="s">
        <v>1264</v>
      </c>
      <c r="S2427" s="12"/>
      <c r="T2427" s="12"/>
      <c r="U2427" s="10" t="str">
        <f>HYPERLINK("https://pbs.twimg.com/profile_images/664495189877202944/WYyFsQ5S.jpg","View")</f>
        <v>View</v>
      </c>
    </row>
    <row r="2428" spans="1:21" ht="40.799999999999997">
      <c r="A2428" s="6">
        <v>43440.586805555555</v>
      </c>
      <c r="B2428" s="7" t="str">
        <f>HYPERLINK("https://twitter.com/caval100","@caval100")</f>
        <v>@caval100</v>
      </c>
      <c r="C2428" s="8" t="s">
        <v>501</v>
      </c>
      <c r="D2428" s="9" t="s">
        <v>7934</v>
      </c>
      <c r="E2428" s="10" t="str">
        <f>HYPERLINK("https://twitter.com/caval100/status/1070665410750615552","1070665410750615552")</f>
        <v>1070665410750615552</v>
      </c>
      <c r="F2428" s="11" t="s">
        <v>565</v>
      </c>
      <c r="G2428" s="12"/>
      <c r="H2428" s="12"/>
      <c r="I2428" s="13">
        <v>0</v>
      </c>
      <c r="J2428" s="13">
        <v>0</v>
      </c>
      <c r="K2428" s="14" t="str">
        <f>HYPERLINK("https://about.twitter.com/products/tweetdeck","TweetDeck")</f>
        <v>TweetDeck</v>
      </c>
      <c r="L2428" s="13">
        <v>119343</v>
      </c>
      <c r="M2428" s="13">
        <v>94000</v>
      </c>
      <c r="N2428" s="13">
        <v>982</v>
      </c>
      <c r="O2428" s="15"/>
      <c r="P2428" s="6">
        <v>40079.437094907407</v>
      </c>
      <c r="Q2428" s="16" t="s">
        <v>505</v>
      </c>
      <c r="R2428" s="17" t="s">
        <v>506</v>
      </c>
      <c r="S2428" s="11" t="s">
        <v>507</v>
      </c>
      <c r="T2428" s="12"/>
      <c r="U2428" s="10" t="str">
        <f>HYPERLINK("https://pbs.twimg.com/profile_images/965350678301429760/uvGI7g8U.jpg","View")</f>
        <v>View</v>
      </c>
    </row>
    <row r="2429" spans="1:21" ht="51">
      <c r="A2429" s="6">
        <v>43440.586643518516</v>
      </c>
      <c r="B2429" s="7" t="str">
        <f>HYPERLINK("https://twitter.com/yosoynaranjito_","@yosoynaranjito_")</f>
        <v>@yosoynaranjito_</v>
      </c>
      <c r="C2429" s="8" t="s">
        <v>7935</v>
      </c>
      <c r="D2429" s="9" t="s">
        <v>7936</v>
      </c>
      <c r="E2429" s="10" t="str">
        <f>HYPERLINK("https://twitter.com/yosoynaranjito_/status/1070665353213239296","1070665353213239296")</f>
        <v>1070665353213239296</v>
      </c>
      <c r="F2429" s="12"/>
      <c r="G2429" s="11" t="s">
        <v>6555</v>
      </c>
      <c r="H2429" s="12"/>
      <c r="I2429" s="13">
        <v>152</v>
      </c>
      <c r="J2429" s="13">
        <v>261</v>
      </c>
      <c r="K2429" s="14" t="str">
        <f>HYPERLINK("http://twitter.com/download/iphone","Twitter for iPhone")</f>
        <v>Twitter for iPhone</v>
      </c>
      <c r="L2429" s="13">
        <v>22702</v>
      </c>
      <c r="M2429" s="13">
        <v>20329</v>
      </c>
      <c r="N2429" s="13">
        <v>136</v>
      </c>
      <c r="O2429" s="15"/>
      <c r="P2429" s="6">
        <v>42301.704398148147</v>
      </c>
      <c r="Q2429" s="16" t="s">
        <v>7669</v>
      </c>
      <c r="R2429" s="17" t="s">
        <v>7937</v>
      </c>
      <c r="S2429" s="11" t="s">
        <v>7938</v>
      </c>
      <c r="T2429" s="12"/>
      <c r="U2429" s="10" t="str">
        <f>HYPERLINK("https://pbs.twimg.com/profile_images/1064258315931258881/2mY8b8BQ.jpg","View")</f>
        <v>View</v>
      </c>
    </row>
    <row r="2430" spans="1:21" ht="40.799999999999997">
      <c r="A2430" s="6">
        <v>43440.586331018523</v>
      </c>
      <c r="B2430" s="7" t="str">
        <f>HYPERLINK("https://twitter.com/zapper_news","@zapper_news")</f>
        <v>@zapper_news</v>
      </c>
      <c r="C2430" s="8" t="s">
        <v>23</v>
      </c>
      <c r="D2430" s="9" t="s">
        <v>348</v>
      </c>
      <c r="E2430" s="10" t="str">
        <f>HYPERLINK("https://twitter.com/zapper_news/status/1070665238322782208","1070665238322782208")</f>
        <v>1070665238322782208</v>
      </c>
      <c r="F2430" s="11" t="s">
        <v>62</v>
      </c>
      <c r="G2430" s="11" t="s">
        <v>349</v>
      </c>
      <c r="H2430" s="12"/>
      <c r="I2430" s="13">
        <v>0</v>
      </c>
      <c r="J2430" s="13">
        <v>0</v>
      </c>
      <c r="K2430" s="14" t="str">
        <f>HYPERLINK("http://www.tier.be","Stats Now")</f>
        <v>Stats Now</v>
      </c>
      <c r="L2430" s="13">
        <v>285</v>
      </c>
      <c r="M2430" s="13">
        <v>1845</v>
      </c>
      <c r="N2430" s="13">
        <v>0</v>
      </c>
      <c r="O2430" s="15"/>
      <c r="P2430" s="6">
        <v>42874.842048611114</v>
      </c>
      <c r="Q2430" s="16" t="s">
        <v>26</v>
      </c>
      <c r="R2430" s="17" t="s">
        <v>28</v>
      </c>
      <c r="S2430" s="11" t="s">
        <v>29</v>
      </c>
      <c r="T2430" s="12"/>
      <c r="U2430" s="10" t="str">
        <f>HYPERLINK("https://pbs.twimg.com/profile_images/1011404142210961408/ffUw_4XH.jpg","View")</f>
        <v>View</v>
      </c>
    </row>
    <row r="2431" spans="1:21" ht="20.399999999999999">
      <c r="A2431" s="6">
        <v>43440.586284722223</v>
      </c>
      <c r="B2431" s="7" t="str">
        <f>HYPERLINK("https://twitter.com/dulce_peligroja","@dulce_peligroja")</f>
        <v>@dulce_peligroja</v>
      </c>
      <c r="C2431" s="8" t="s">
        <v>7939</v>
      </c>
      <c r="D2431" s="9" t="s">
        <v>7940</v>
      </c>
      <c r="E2431" s="10" t="str">
        <f>HYPERLINK("https://twitter.com/dulce_peligroja/status/1070665221629464576","1070665221629464576")</f>
        <v>1070665221629464576</v>
      </c>
      <c r="F2431" s="12"/>
      <c r="G2431" s="12"/>
      <c r="H2431" s="12"/>
      <c r="I2431" s="13">
        <v>0</v>
      </c>
      <c r="J2431" s="13">
        <v>6</v>
      </c>
      <c r="K2431" s="14" t="str">
        <f>HYPERLINK("http://twitter.com/download/android","Twitter for Android")</f>
        <v>Twitter for Android</v>
      </c>
      <c r="L2431" s="13">
        <v>3814</v>
      </c>
      <c r="M2431" s="13">
        <v>454</v>
      </c>
      <c r="N2431" s="13">
        <v>19</v>
      </c>
      <c r="O2431" s="15"/>
      <c r="P2431" s="6">
        <v>42801.627187499995</v>
      </c>
      <c r="Q2431" s="12"/>
      <c r="R2431" s="17" t="s">
        <v>7941</v>
      </c>
      <c r="S2431" s="12"/>
      <c r="T2431" s="12"/>
      <c r="U2431" s="10" t="str">
        <f>HYPERLINK("https://pbs.twimg.com/profile_images/1069612190594985984/3jBc60OT.jpg","View")</f>
        <v>View</v>
      </c>
    </row>
    <row r="2432" spans="1:21" ht="40.799999999999997">
      <c r="A2432" s="6">
        <v>43440.586192129631</v>
      </c>
      <c r="B2432" s="7" t="str">
        <f>HYPERLINK("https://twitter.com/noelDuque","@noelDuque")</f>
        <v>@noelDuque</v>
      </c>
      <c r="C2432" s="8" t="s">
        <v>7942</v>
      </c>
      <c r="D2432" s="9" t="s">
        <v>7943</v>
      </c>
      <c r="E2432" s="10" t="str">
        <f>HYPERLINK("https://twitter.com/noelDuque/status/1070665187164909568","1070665187164909568")</f>
        <v>1070665187164909568</v>
      </c>
      <c r="F2432" s="11" t="s">
        <v>7944</v>
      </c>
      <c r="G2432" s="12"/>
      <c r="H2432" s="12"/>
      <c r="I2432" s="13">
        <v>1</v>
      </c>
      <c r="J2432" s="13">
        <v>2</v>
      </c>
      <c r="K2432" s="14" t="str">
        <f>HYPERLINK("http://www.facebook.com/twitter","Facebook")</f>
        <v>Facebook</v>
      </c>
      <c r="L2432" s="13">
        <v>773</v>
      </c>
      <c r="M2432" s="13">
        <v>707</v>
      </c>
      <c r="N2432" s="13">
        <v>12</v>
      </c>
      <c r="O2432" s="15"/>
      <c r="P2432" s="6">
        <v>40558.291331018518</v>
      </c>
      <c r="Q2432" s="16" t="s">
        <v>2886</v>
      </c>
      <c r="R2432" s="17" t="s">
        <v>7945</v>
      </c>
      <c r="S2432" s="11" t="s">
        <v>7946</v>
      </c>
      <c r="T2432" s="12"/>
      <c r="U2432" s="10" t="str">
        <f>HYPERLINK("https://pbs.twimg.com/profile_images/454705636157030400/Jk86bLJZ.jpeg","View")</f>
        <v>View</v>
      </c>
    </row>
    <row r="2433" spans="1:21" ht="30.6">
      <c r="A2433" s="6">
        <v>43440.585474537038</v>
      </c>
      <c r="B2433" s="7" t="str">
        <f>HYPERLINK("https://twitter.com/yassel10","@yassel10")</f>
        <v>@yassel10</v>
      </c>
      <c r="C2433" s="8" t="s">
        <v>7947</v>
      </c>
      <c r="D2433" s="9" t="s">
        <v>7948</v>
      </c>
      <c r="E2433" s="10" t="str">
        <f>HYPERLINK("https://twitter.com/yassel10/status/1070664928220966912","1070664928220966912")</f>
        <v>1070664928220966912</v>
      </c>
      <c r="F2433" s="11" t="s">
        <v>7949</v>
      </c>
      <c r="G2433" s="12"/>
      <c r="H2433" s="12"/>
      <c r="I2433" s="13">
        <v>0</v>
      </c>
      <c r="J2433" s="13">
        <v>0</v>
      </c>
      <c r="K2433" s="14" t="str">
        <f>HYPERLINK("https://dlvrit.com/","dlvr.it")</f>
        <v>dlvr.it</v>
      </c>
      <c r="L2433" s="13">
        <v>70650</v>
      </c>
      <c r="M2433" s="13">
        <v>80</v>
      </c>
      <c r="N2433" s="13">
        <v>57</v>
      </c>
      <c r="O2433" s="15"/>
      <c r="P2433" s="6">
        <v>41192.245624999996</v>
      </c>
      <c r="Q2433" s="16" t="s">
        <v>7950</v>
      </c>
      <c r="R2433" s="17" t="s">
        <v>7951</v>
      </c>
      <c r="S2433" s="12"/>
      <c r="T2433" s="12"/>
      <c r="U2433" s="10" t="str">
        <f>HYPERLINK("https://pbs.twimg.com/profile_images/636696001668116480/uT6oAWkC.jpg","View")</f>
        <v>View</v>
      </c>
    </row>
    <row r="2434" spans="1:21" ht="51">
      <c r="A2434" s="6">
        <v>43440.585081018522</v>
      </c>
      <c r="B2434" s="7" t="str">
        <f>HYPERLINK("https://twitter.com/CarmilDuran","@CarmilDuran")</f>
        <v>@CarmilDuran</v>
      </c>
      <c r="C2434" s="8" t="s">
        <v>7952</v>
      </c>
      <c r="D2434" s="9" t="s">
        <v>7953</v>
      </c>
      <c r="E2434" s="10" t="str">
        <f>HYPERLINK("https://twitter.com/CarmilDuran/status/1070664786378149889","1070664786378149889")</f>
        <v>1070664786378149889</v>
      </c>
      <c r="F2434" s="11" t="s">
        <v>6129</v>
      </c>
      <c r="G2434" s="12"/>
      <c r="H2434" s="12"/>
      <c r="I2434" s="13">
        <v>0</v>
      </c>
      <c r="J2434" s="13">
        <v>1</v>
      </c>
      <c r="K2434" s="14" t="str">
        <f>HYPERLINK("http://twitter.com","Twitter Web Client")</f>
        <v>Twitter Web Client</v>
      </c>
      <c r="L2434" s="13">
        <v>27</v>
      </c>
      <c r="M2434" s="13">
        <v>124</v>
      </c>
      <c r="N2434" s="13">
        <v>0</v>
      </c>
      <c r="O2434" s="15"/>
      <c r="P2434" s="6">
        <v>43428.77652777778</v>
      </c>
      <c r="Q2434" s="12"/>
      <c r="R2434" s="17" t="s">
        <v>7954</v>
      </c>
      <c r="S2434" s="12"/>
      <c r="T2434" s="12"/>
      <c r="U2434" s="10" t="str">
        <f>HYPERLINK("https://pbs.twimg.com/profile_images/1068569682800766976/Suw6_MTU.jpg","View")</f>
        <v>View</v>
      </c>
    </row>
    <row r="2435" spans="1:21" ht="30.6">
      <c r="A2435" s="6">
        <v>43440.58493055556</v>
      </c>
      <c r="B2435" s="7" t="str">
        <f>HYPERLINK("https://twitter.com/valluzo","@valluzo")</f>
        <v>@valluzo</v>
      </c>
      <c r="C2435" s="8" t="s">
        <v>7955</v>
      </c>
      <c r="D2435" s="9" t="s">
        <v>7956</v>
      </c>
      <c r="E2435" s="10" t="str">
        <f>HYPERLINK("https://twitter.com/valluzo/status/1070664732061900800","1070664732061900800")</f>
        <v>1070664732061900800</v>
      </c>
      <c r="F2435" s="12"/>
      <c r="G2435" s="12"/>
      <c r="H2435" s="12"/>
      <c r="I2435" s="13">
        <v>2</v>
      </c>
      <c r="J2435" s="13">
        <v>11</v>
      </c>
      <c r="K2435" s="14" t="str">
        <f t="shared" ref="K2435:K2437" si="419">HYPERLINK("http://twitter.com/download/android","Twitter for Android")</f>
        <v>Twitter for Android</v>
      </c>
      <c r="L2435" s="13">
        <v>3927</v>
      </c>
      <c r="M2435" s="13">
        <v>4820</v>
      </c>
      <c r="N2435" s="13">
        <v>15</v>
      </c>
      <c r="O2435" s="15"/>
      <c r="P2435" s="6">
        <v>40684.062557870369</v>
      </c>
      <c r="Q2435" s="16" t="s">
        <v>345</v>
      </c>
      <c r="R2435" s="17" t="s">
        <v>7957</v>
      </c>
      <c r="S2435" s="12"/>
      <c r="T2435" s="12"/>
      <c r="U2435" s="10" t="str">
        <f>HYPERLINK("https://pbs.twimg.com/profile_images/1039942384086380545/e79aC9vV.jpg","View")</f>
        <v>View</v>
      </c>
    </row>
    <row r="2436" spans="1:21" ht="40.799999999999997">
      <c r="A2436" s="6">
        <v>43440.584513888884</v>
      </c>
      <c r="B2436" s="7" t="str">
        <f>HYPERLINK("https://twitter.com/IVNSEOANE","@IVNSEOANE")</f>
        <v>@IVNSEOANE</v>
      </c>
      <c r="C2436" s="8" t="s">
        <v>7210</v>
      </c>
      <c r="D2436" s="9" t="s">
        <v>7211</v>
      </c>
      <c r="E2436" s="10" t="str">
        <f>HYPERLINK("https://twitter.com/IVNSEOANE/status/1070664578999160832","1070664578999160832")</f>
        <v>1070664578999160832</v>
      </c>
      <c r="F2436" s="11" t="s">
        <v>4628</v>
      </c>
      <c r="G2436" s="12"/>
      <c r="H2436" s="12"/>
      <c r="I2436" s="13">
        <v>0</v>
      </c>
      <c r="J2436" s="13">
        <v>0</v>
      </c>
      <c r="K2436" s="14" t="str">
        <f t="shared" si="419"/>
        <v>Twitter for Android</v>
      </c>
      <c r="L2436" s="13">
        <v>975</v>
      </c>
      <c r="M2436" s="13">
        <v>488</v>
      </c>
      <c r="N2436" s="13">
        <v>2</v>
      </c>
      <c r="O2436" s="15"/>
      <c r="P2436" s="6">
        <v>41060.655601851853</v>
      </c>
      <c r="Q2436" s="16" t="s">
        <v>3344</v>
      </c>
      <c r="R2436" s="17" t="s">
        <v>7215</v>
      </c>
      <c r="S2436" s="12"/>
      <c r="T2436" s="12"/>
      <c r="U2436" s="10" t="str">
        <f>HYPERLINK("https://pbs.twimg.com/profile_images/1067535981006516226/uGVmWSl4.jpg","View")</f>
        <v>View</v>
      </c>
    </row>
    <row r="2437" spans="1:21" ht="40.799999999999997">
      <c r="A2437" s="6">
        <v>43440.584340277783</v>
      </c>
      <c r="B2437" s="7" t="str">
        <f>HYPERLINK("https://twitter.com/UlloaMeijide","@UlloaMeijide")</f>
        <v>@UlloaMeijide</v>
      </c>
      <c r="C2437" s="8" t="s">
        <v>7958</v>
      </c>
      <c r="D2437" s="9" t="s">
        <v>7959</v>
      </c>
      <c r="E2437" s="10" t="str">
        <f>HYPERLINK("https://twitter.com/UlloaMeijide/status/1070664517623967746","1070664517623967746")</f>
        <v>1070664517623967746</v>
      </c>
      <c r="F2437" s="12"/>
      <c r="G2437" s="12"/>
      <c r="H2437" s="12"/>
      <c r="I2437" s="13">
        <v>0</v>
      </c>
      <c r="J2437" s="13">
        <v>0</v>
      </c>
      <c r="K2437" s="14" t="str">
        <f t="shared" si="419"/>
        <v>Twitter for Android</v>
      </c>
      <c r="L2437" s="13">
        <v>250</v>
      </c>
      <c r="M2437" s="13">
        <v>275</v>
      </c>
      <c r="N2437" s="13">
        <v>1</v>
      </c>
      <c r="O2437" s="15"/>
      <c r="P2437" s="6">
        <v>40986.868587962963</v>
      </c>
      <c r="Q2437" s="30">
        <v>41859</v>
      </c>
      <c r="R2437" s="17" t="s">
        <v>7960</v>
      </c>
      <c r="S2437" s="12"/>
      <c r="T2437" s="12"/>
      <c r="U2437" s="10" t="str">
        <f>HYPERLINK("https://pbs.twimg.com/profile_images/509397735783817217/g_Rmup1r.jpeg","View")</f>
        <v>View</v>
      </c>
    </row>
    <row r="2438" spans="1:21" ht="30.6">
      <c r="A2438" s="6">
        <v>43440.584039351852</v>
      </c>
      <c r="B2438" s="7" t="str">
        <f>HYPERLINK("https://twitter.com/LaPrensaReal","@LaPrensaReal")</f>
        <v>@LaPrensaReal</v>
      </c>
      <c r="C2438" s="8" t="s">
        <v>356</v>
      </c>
      <c r="D2438" s="9" t="s">
        <v>357</v>
      </c>
      <c r="E2438" s="10" t="str">
        <f>HYPERLINK("https://twitter.com/LaPrensaReal/status/1070664407124979714","1070664407124979714")</f>
        <v>1070664407124979714</v>
      </c>
      <c r="F2438" s="11" t="s">
        <v>359</v>
      </c>
      <c r="G2438" s="11" t="s">
        <v>362</v>
      </c>
      <c r="H2438" s="12"/>
      <c r="I2438" s="13">
        <v>0</v>
      </c>
      <c r="J2438" s="13">
        <v>0</v>
      </c>
      <c r="K2438" s="14" t="str">
        <f>HYPERLINK("http://publicize.wp.com/","WordPress.com")</f>
        <v>WordPress.com</v>
      </c>
      <c r="L2438" s="13">
        <v>6966</v>
      </c>
      <c r="M2438" s="13">
        <v>53</v>
      </c>
      <c r="N2438" s="13">
        <v>20</v>
      </c>
      <c r="O2438" s="15"/>
      <c r="P2438" s="6">
        <v>41828.094467592593</v>
      </c>
      <c r="Q2438" s="12"/>
      <c r="R2438" s="17" t="s">
        <v>366</v>
      </c>
      <c r="S2438" s="12"/>
      <c r="T2438" s="12"/>
      <c r="U2438" s="10" t="str">
        <f>HYPERLINK("https://pbs.twimg.com/profile_images/1028485180862943233/f0xBcRGG.jpg","View")</f>
        <v>View</v>
      </c>
    </row>
    <row r="2439" spans="1:21" ht="40.799999999999997">
      <c r="A2439" s="6">
        <v>43440.583750000005</v>
      </c>
      <c r="B2439" s="7" t="str">
        <f>HYPERLINK("https://twitter.com/novomedinilla","@novomedinilla")</f>
        <v>@novomedinilla</v>
      </c>
      <c r="C2439" s="8" t="s">
        <v>7961</v>
      </c>
      <c r="D2439" s="9" t="s">
        <v>7962</v>
      </c>
      <c r="E2439" s="10" t="str">
        <f>HYPERLINK("https://twitter.com/novomedinilla/status/1070664302665846784","1070664302665846784")</f>
        <v>1070664302665846784</v>
      </c>
      <c r="F2439" s="11" t="s">
        <v>7963</v>
      </c>
      <c r="G2439" s="12"/>
      <c r="H2439" s="12"/>
      <c r="I2439" s="13">
        <v>0</v>
      </c>
      <c r="J2439" s="13">
        <v>1</v>
      </c>
      <c r="K2439" s="14" t="str">
        <f t="shared" ref="K2439:K2440" si="420">HYPERLINK("http://twitter.com/download/android","Twitter for Android")</f>
        <v>Twitter for Android</v>
      </c>
      <c r="L2439" s="13">
        <v>10725</v>
      </c>
      <c r="M2439" s="13">
        <v>9477</v>
      </c>
      <c r="N2439" s="13">
        <v>87</v>
      </c>
      <c r="O2439" s="15"/>
      <c r="P2439" s="6">
        <v>40424.661354166667</v>
      </c>
      <c r="Q2439" s="16" t="s">
        <v>7964</v>
      </c>
      <c r="R2439" s="17" t="s">
        <v>7965</v>
      </c>
      <c r="S2439" s="11" t="s">
        <v>7966</v>
      </c>
      <c r="T2439" s="12"/>
      <c r="U2439" s="10" t="str">
        <f>HYPERLINK("https://pbs.twimg.com/profile_images/986522746967511040/mbYZaTmD.jpg","View")</f>
        <v>View</v>
      </c>
    </row>
    <row r="2440" spans="1:21" ht="51">
      <c r="A2440" s="6">
        <v>43440.583611111113</v>
      </c>
      <c r="B2440" s="7" t="str">
        <f>HYPERLINK("https://twitter.com/MCarmenRiv74","@MCarmenRiv74")</f>
        <v>@MCarmenRiv74</v>
      </c>
      <c r="C2440" s="8" t="s">
        <v>6624</v>
      </c>
      <c r="D2440" s="9" t="s">
        <v>7967</v>
      </c>
      <c r="E2440" s="10" t="str">
        <f>HYPERLINK("https://twitter.com/MCarmenRiv74/status/1070664251960901632","1070664251960901632")</f>
        <v>1070664251960901632</v>
      </c>
      <c r="F2440" s="12"/>
      <c r="G2440" s="12"/>
      <c r="H2440" s="12"/>
      <c r="I2440" s="13">
        <v>234</v>
      </c>
      <c r="J2440" s="13">
        <v>254</v>
      </c>
      <c r="K2440" s="14" t="str">
        <f t="shared" si="420"/>
        <v>Twitter for Android</v>
      </c>
      <c r="L2440" s="13">
        <v>15661</v>
      </c>
      <c r="M2440" s="13">
        <v>13805</v>
      </c>
      <c r="N2440" s="13">
        <v>93</v>
      </c>
      <c r="O2440" s="15"/>
      <c r="P2440" s="6">
        <v>41398.572731481479</v>
      </c>
      <c r="Q2440" s="12"/>
      <c r="R2440" s="17" t="s">
        <v>6625</v>
      </c>
      <c r="S2440" s="12"/>
      <c r="T2440" s="12"/>
      <c r="U2440" s="10" t="str">
        <f>HYPERLINK("https://pbs.twimg.com/profile_images/1062865623494131712/UmeE68Gq.jpg","View")</f>
        <v>View</v>
      </c>
    </row>
    <row r="2441" spans="1:21" ht="30.6">
      <c r="A2441" s="6">
        <v>43440.583460648151</v>
      </c>
      <c r="B2441" s="7" t="str">
        <f>HYPERLINK("https://twitter.com/PabloCubel","@PabloCubel")</f>
        <v>@PabloCubel</v>
      </c>
      <c r="C2441" s="8" t="s">
        <v>7968</v>
      </c>
      <c r="D2441" s="9" t="s">
        <v>7969</v>
      </c>
      <c r="E2441" s="10" t="str">
        <f>HYPERLINK("https://twitter.com/PabloCubel/status/1070664199511134210","1070664199511134210")</f>
        <v>1070664199511134210</v>
      </c>
      <c r="F2441" s="12"/>
      <c r="G2441" s="12"/>
      <c r="H2441" s="12"/>
      <c r="I2441" s="13">
        <v>0</v>
      </c>
      <c r="J2441" s="13">
        <v>0</v>
      </c>
      <c r="K2441" s="14" t="str">
        <f>HYPERLINK("http://twitter.com/download/iphone","Twitter for iPhone")</f>
        <v>Twitter for iPhone</v>
      </c>
      <c r="L2441" s="13">
        <v>457</v>
      </c>
      <c r="M2441" s="13">
        <v>664</v>
      </c>
      <c r="N2441" s="13">
        <v>6</v>
      </c>
      <c r="O2441" s="15"/>
      <c r="P2441" s="6">
        <v>41318.695960648147</v>
      </c>
      <c r="Q2441" s="16" t="s">
        <v>7970</v>
      </c>
      <c r="R2441" s="17" t="s">
        <v>7971</v>
      </c>
      <c r="S2441" s="12"/>
      <c r="T2441" s="12"/>
      <c r="U2441" s="10" t="str">
        <f>HYPERLINK("https://pbs.twimg.com/profile_images/1053662222453534721/r5htbzia.jpg","View")</f>
        <v>View</v>
      </c>
    </row>
    <row r="2442" spans="1:21" ht="30.6">
      <c r="A2442" s="6">
        <v>43440.583356481482</v>
      </c>
      <c r="B2442" s="7" t="str">
        <f>HYPERLINK("https://twitter.com/mogollini","@mogollini")</f>
        <v>@mogollini</v>
      </c>
      <c r="C2442" s="8" t="s">
        <v>3389</v>
      </c>
      <c r="D2442" s="9" t="s">
        <v>7972</v>
      </c>
      <c r="E2442" s="10" t="str">
        <f>HYPERLINK("https://twitter.com/mogollini/status/1070664160801902594","1070664160801902594")</f>
        <v>1070664160801902594</v>
      </c>
      <c r="F2442" s="12"/>
      <c r="G2442" s="12"/>
      <c r="H2442" s="12"/>
      <c r="I2442" s="13">
        <v>0</v>
      </c>
      <c r="J2442" s="13">
        <v>0</v>
      </c>
      <c r="K2442" s="14" t="str">
        <f t="shared" ref="K2442:K2446" si="421">HYPERLINK("http://twitter.com","Twitter Web Client")</f>
        <v>Twitter Web Client</v>
      </c>
      <c r="L2442" s="13">
        <v>448</v>
      </c>
      <c r="M2442" s="13">
        <v>1149</v>
      </c>
      <c r="N2442" s="13">
        <v>4</v>
      </c>
      <c r="O2442" s="15"/>
      <c r="P2442" s="6">
        <v>40063.913113425922</v>
      </c>
      <c r="Q2442" s="16" t="s">
        <v>3392</v>
      </c>
      <c r="R2442" s="17" t="s">
        <v>3393</v>
      </c>
      <c r="S2442" s="12"/>
      <c r="T2442" s="12"/>
      <c r="U2442" s="10" t="str">
        <f>HYPERLINK("https://pbs.twimg.com/profile_images/855918585394450434/2pM-gh4L.jpg","View")</f>
        <v>View</v>
      </c>
    </row>
    <row r="2443" spans="1:21" ht="20.399999999999999">
      <c r="A2443" s="6">
        <v>43440.583310185189</v>
      </c>
      <c r="B2443" s="7" t="str">
        <f>HYPERLINK("https://twitter.com/lunarayco","@lunarayco")</f>
        <v>@lunarayco</v>
      </c>
      <c r="C2443" s="8" t="s">
        <v>5810</v>
      </c>
      <c r="D2443" s="9" t="s">
        <v>5013</v>
      </c>
      <c r="E2443" s="10" t="str">
        <f>HYPERLINK("https://twitter.com/lunarayco/status/1070664144582512641","1070664144582512641")</f>
        <v>1070664144582512641</v>
      </c>
      <c r="F2443" s="11" t="s">
        <v>7973</v>
      </c>
      <c r="G2443" s="12"/>
      <c r="H2443" s="12"/>
      <c r="I2443" s="13">
        <v>0</v>
      </c>
      <c r="J2443" s="13">
        <v>0</v>
      </c>
      <c r="K2443" s="14" t="str">
        <f t="shared" si="421"/>
        <v>Twitter Web Client</v>
      </c>
      <c r="L2443" s="13">
        <v>21</v>
      </c>
      <c r="M2443" s="13">
        <v>406</v>
      </c>
      <c r="N2443" s="13">
        <v>1</v>
      </c>
      <c r="O2443" s="15"/>
      <c r="P2443" s="6">
        <v>41916.52915509259</v>
      </c>
      <c r="Q2443" s="12"/>
      <c r="R2443" s="19"/>
      <c r="S2443" s="12"/>
      <c r="T2443" s="12"/>
      <c r="U2443" s="10" t="str">
        <f>HYPERLINK("https://pbs.twimg.com/profile_images/672340910420713472/y-UMxwlE.jpg","View")</f>
        <v>View</v>
      </c>
    </row>
    <row r="2444" spans="1:21" ht="51">
      <c r="A2444" s="6">
        <v>43440.582627314812</v>
      </c>
      <c r="B2444" s="7" t="str">
        <f>HYPERLINK("https://twitter.com/juliogcs11","@juliogcs11")</f>
        <v>@juliogcs11</v>
      </c>
      <c r="C2444" s="8" t="s">
        <v>7974</v>
      </c>
      <c r="D2444" s="9" t="s">
        <v>7975</v>
      </c>
      <c r="E2444" s="10" t="str">
        <f>HYPERLINK("https://twitter.com/juliogcs11/status/1070663896925655040","1070663896925655040")</f>
        <v>1070663896925655040</v>
      </c>
      <c r="F2444" s="11" t="s">
        <v>7976</v>
      </c>
      <c r="G2444" s="11" t="s">
        <v>7977</v>
      </c>
      <c r="H2444" s="12"/>
      <c r="I2444" s="13">
        <v>0</v>
      </c>
      <c r="J2444" s="13">
        <v>0</v>
      </c>
      <c r="K2444" s="14" t="str">
        <f t="shared" si="421"/>
        <v>Twitter Web Client</v>
      </c>
      <c r="L2444" s="13">
        <v>37</v>
      </c>
      <c r="M2444" s="13">
        <v>264</v>
      </c>
      <c r="N2444" s="13">
        <v>0</v>
      </c>
      <c r="O2444" s="15"/>
      <c r="P2444" s="6">
        <v>42176.769189814819</v>
      </c>
      <c r="Q2444" s="12"/>
      <c r="R2444" s="19"/>
      <c r="S2444" s="11" t="s">
        <v>7978</v>
      </c>
      <c r="T2444" s="12"/>
      <c r="U2444" s="10" t="str">
        <f>HYPERLINK("https://pbs.twimg.com/profile_images/613388208844443648/v7oRW9sm.jpg","View")</f>
        <v>View</v>
      </c>
    </row>
    <row r="2445" spans="1:21" ht="40.799999999999997">
      <c r="A2445" s="6">
        <v>43440.582349537042</v>
      </c>
      <c r="B2445" s="7" t="str">
        <f>HYPERLINK("https://twitter.com/JavierLezaola","@JavierLezaola")</f>
        <v>@JavierLezaola</v>
      </c>
      <c r="C2445" s="8" t="s">
        <v>7979</v>
      </c>
      <c r="D2445" s="9" t="s">
        <v>7980</v>
      </c>
      <c r="E2445" s="10" t="str">
        <f>HYPERLINK("https://twitter.com/JavierLezaola/status/1070663796610514945","1070663796610514945")</f>
        <v>1070663796610514945</v>
      </c>
      <c r="F2445" s="12"/>
      <c r="G2445" s="12"/>
      <c r="H2445" s="12"/>
      <c r="I2445" s="13">
        <v>16</v>
      </c>
      <c r="J2445" s="13">
        <v>36</v>
      </c>
      <c r="K2445" s="14" t="str">
        <f t="shared" si="421"/>
        <v>Twitter Web Client</v>
      </c>
      <c r="L2445" s="13">
        <v>16738</v>
      </c>
      <c r="M2445" s="13">
        <v>911</v>
      </c>
      <c r="N2445" s="13">
        <v>225</v>
      </c>
      <c r="O2445" s="15"/>
      <c r="P2445" s="6">
        <v>40825.461053240739</v>
      </c>
      <c r="Q2445" s="16" t="s">
        <v>7165</v>
      </c>
      <c r="R2445" s="17" t="s">
        <v>7981</v>
      </c>
      <c r="S2445" s="12"/>
      <c r="T2445" s="12"/>
      <c r="U2445" s="10" t="str">
        <f>HYPERLINK("https://pbs.twimg.com/profile_images/1065028375037775873/FabBpxsv.jpg","View")</f>
        <v>View</v>
      </c>
    </row>
    <row r="2446" spans="1:21" ht="20.399999999999999">
      <c r="A2446" s="6">
        <v>43440.581979166665</v>
      </c>
      <c r="B2446" s="7" t="str">
        <f>HYPERLINK("https://twitter.com/Jacobo7elbobo","@Jacobo7elbobo")</f>
        <v>@Jacobo7elbobo</v>
      </c>
      <c r="C2446" s="8" t="s">
        <v>4168</v>
      </c>
      <c r="D2446" s="9" t="s">
        <v>4627</v>
      </c>
      <c r="E2446" s="10" t="str">
        <f>HYPERLINK("https://twitter.com/Jacobo7elbobo/status/1070663660232683520","1070663660232683520")</f>
        <v>1070663660232683520</v>
      </c>
      <c r="F2446" s="11" t="s">
        <v>4628</v>
      </c>
      <c r="G2446" s="12"/>
      <c r="H2446" s="12"/>
      <c r="I2446" s="13">
        <v>7</v>
      </c>
      <c r="J2446" s="13">
        <v>5</v>
      </c>
      <c r="K2446" s="14" t="str">
        <f t="shared" si="421"/>
        <v>Twitter Web Client</v>
      </c>
      <c r="L2446" s="13">
        <v>5561</v>
      </c>
      <c r="M2446" s="13">
        <v>5286</v>
      </c>
      <c r="N2446" s="13">
        <v>8</v>
      </c>
      <c r="O2446" s="15"/>
      <c r="P2446" s="6">
        <v>42315.993460648147</v>
      </c>
      <c r="Q2446" s="16" t="s">
        <v>4169</v>
      </c>
      <c r="R2446" s="17" t="s">
        <v>4170</v>
      </c>
      <c r="S2446" s="12"/>
      <c r="T2446" s="12"/>
      <c r="U2446" s="10" t="str">
        <f>HYPERLINK("https://pbs.twimg.com/profile_images/972809079289675776/alLBdem6.jpg","View")</f>
        <v>View</v>
      </c>
    </row>
    <row r="2447" spans="1:21" ht="20.399999999999999">
      <c r="A2447" s="6">
        <v>43440.581921296296</v>
      </c>
      <c r="B2447" s="7" t="str">
        <f>HYPERLINK("https://twitter.com/dulce_peligroja","@dulce_peligroja")</f>
        <v>@dulce_peligroja</v>
      </c>
      <c r="C2447" s="8" t="s">
        <v>7939</v>
      </c>
      <c r="D2447" s="9" t="s">
        <v>7982</v>
      </c>
      <c r="E2447" s="10" t="str">
        <f>HYPERLINK("https://twitter.com/dulce_peligroja/status/1070663641735798785","1070663641735798785")</f>
        <v>1070663641735798785</v>
      </c>
      <c r="F2447" s="12"/>
      <c r="G2447" s="12"/>
      <c r="H2447" s="12"/>
      <c r="I2447" s="13">
        <v>1</v>
      </c>
      <c r="J2447" s="13">
        <v>4</v>
      </c>
      <c r="K2447" s="14" t="str">
        <f>HYPERLINK("http://twitter.com/download/android","Twitter for Android")</f>
        <v>Twitter for Android</v>
      </c>
      <c r="L2447" s="13">
        <v>3814</v>
      </c>
      <c r="M2447" s="13">
        <v>454</v>
      </c>
      <c r="N2447" s="13">
        <v>19</v>
      </c>
      <c r="O2447" s="15"/>
      <c r="P2447" s="6">
        <v>42801.627187499995</v>
      </c>
      <c r="Q2447" s="12"/>
      <c r="R2447" s="17" t="s">
        <v>7941</v>
      </c>
      <c r="S2447" s="12"/>
      <c r="T2447" s="12"/>
      <c r="U2447" s="10" t="str">
        <f>HYPERLINK("https://pbs.twimg.com/profile_images/1069612190594985984/3jBc60OT.jpg","View")</f>
        <v>View</v>
      </c>
    </row>
    <row r="2448" spans="1:21" ht="30.6">
      <c r="A2448" s="6">
        <v>43440.581666666665</v>
      </c>
      <c r="B2448" s="7" t="str">
        <f>HYPERLINK("https://twitter.com/TeresaN511","@TeresaN511")</f>
        <v>@TeresaN511</v>
      </c>
      <c r="C2448" s="8" t="s">
        <v>3665</v>
      </c>
      <c r="D2448" s="9" t="s">
        <v>7983</v>
      </c>
      <c r="E2448" s="10" t="str">
        <f>HYPERLINK("https://twitter.com/TeresaN511/status/1070663549624741888","1070663549624741888")</f>
        <v>1070663549624741888</v>
      </c>
      <c r="F2448" s="11" t="s">
        <v>7984</v>
      </c>
      <c r="G2448" s="11" t="s">
        <v>6672</v>
      </c>
      <c r="H2448" s="12"/>
      <c r="I2448" s="13">
        <v>0</v>
      </c>
      <c r="J2448" s="13">
        <v>0</v>
      </c>
      <c r="K2448" s="14" t="str">
        <f>HYPERLINK("https://ifttt.com","IFTTT")</f>
        <v>IFTTT</v>
      </c>
      <c r="L2448" s="13">
        <v>21</v>
      </c>
      <c r="M2448" s="13">
        <v>13</v>
      </c>
      <c r="N2448" s="13">
        <v>2</v>
      </c>
      <c r="O2448" s="15"/>
      <c r="P2448" s="6">
        <v>42736.575069444443</v>
      </c>
      <c r="Q2448" s="12"/>
      <c r="R2448" s="17" t="s">
        <v>7985</v>
      </c>
      <c r="S2448" s="12"/>
      <c r="T2448" s="12"/>
      <c r="U2448" s="10" t="str">
        <f>HYPERLINK("https://pbs.twimg.com/profile_images/819116744342114304/ytQFaOmN.jpg","View")</f>
        <v>View</v>
      </c>
    </row>
    <row r="2449" spans="1:21" ht="20.399999999999999">
      <c r="A2449" s="6">
        <v>43440.58148148148</v>
      </c>
      <c r="B2449" s="7" t="str">
        <f>HYPERLINK("https://twitter.com/catymu2","@catymu2")</f>
        <v>@catymu2</v>
      </c>
      <c r="C2449" s="8" t="s">
        <v>1908</v>
      </c>
      <c r="D2449" s="9" t="s">
        <v>7986</v>
      </c>
      <c r="E2449" s="10" t="str">
        <f>HYPERLINK("https://twitter.com/catymu2/status/1070663480787767296","1070663480787767296")</f>
        <v>1070663480787767296</v>
      </c>
      <c r="F2449" s="11" t="s">
        <v>6393</v>
      </c>
      <c r="G2449" s="12"/>
      <c r="H2449" s="12"/>
      <c r="I2449" s="13">
        <v>0</v>
      </c>
      <c r="J2449" s="13">
        <v>0</v>
      </c>
      <c r="K2449" s="14" t="str">
        <f>HYPERLINK("http://twitter.com","Twitter Web Client")</f>
        <v>Twitter Web Client</v>
      </c>
      <c r="L2449" s="13">
        <v>43</v>
      </c>
      <c r="M2449" s="13">
        <v>129</v>
      </c>
      <c r="N2449" s="13">
        <v>0</v>
      </c>
      <c r="O2449" s="15"/>
      <c r="P2449" s="6">
        <v>42432.456226851849</v>
      </c>
      <c r="Q2449" s="16" t="s">
        <v>60</v>
      </c>
      <c r="R2449" s="19"/>
      <c r="S2449" s="12"/>
      <c r="T2449" s="12"/>
      <c r="U2449" s="10" t="str">
        <f>HYPERLINK("https://pbs.twimg.com/profile_images/1009103258785402882/34q9w8XC.jpg","View")</f>
        <v>View</v>
      </c>
    </row>
    <row r="2450" spans="1:21" ht="30.6">
      <c r="A2450" s="6">
        <v>43440.581446759257</v>
      </c>
      <c r="B2450" s="7" t="str">
        <f>HYPERLINK("https://twitter.com/DebatAlRojoVivo","@DebatAlRojoVivo")</f>
        <v>@DebatAlRojoVivo</v>
      </c>
      <c r="C2450" s="8" t="s">
        <v>7987</v>
      </c>
      <c r="D2450" s="9" t="s">
        <v>7983</v>
      </c>
      <c r="E2450" s="10" t="str">
        <f>HYPERLINK("https://twitter.com/DebatAlRojoVivo/status/1070663467110162433","1070663467110162433")</f>
        <v>1070663467110162433</v>
      </c>
      <c r="F2450" s="11" t="s">
        <v>7984</v>
      </c>
      <c r="G2450" s="11" t="s">
        <v>6672</v>
      </c>
      <c r="H2450" s="12"/>
      <c r="I2450" s="13">
        <v>28</v>
      </c>
      <c r="J2450" s="13">
        <v>65</v>
      </c>
      <c r="K2450" s="14" t="str">
        <f>HYPERLINK("http://dogtrack.es","DogTrack_Oficial")</f>
        <v>DogTrack_Oficial</v>
      </c>
      <c r="L2450" s="13">
        <v>486241</v>
      </c>
      <c r="M2450" s="13">
        <v>279</v>
      </c>
      <c r="N2450" s="13">
        <v>2915</v>
      </c>
      <c r="O2450" s="18" t="s">
        <v>41</v>
      </c>
      <c r="P2450" s="6">
        <v>40555.87263888889</v>
      </c>
      <c r="Q2450" s="12"/>
      <c r="R2450" s="17" t="s">
        <v>7988</v>
      </c>
      <c r="S2450" s="11" t="s">
        <v>7989</v>
      </c>
      <c r="T2450" s="12"/>
      <c r="U2450" s="10" t="str">
        <f>HYPERLINK("https://pbs.twimg.com/profile_images/1063014308857237504/GEyVz5-l.jpg","View")</f>
        <v>View</v>
      </c>
    </row>
    <row r="2451" spans="1:21" ht="30.6">
      <c r="A2451" s="6">
        <v>43440.581400462965</v>
      </c>
      <c r="B2451" s="7" t="str">
        <f>HYPERLINK("https://twitter.com/TuiteoBarinas","@TuiteoBarinas")</f>
        <v>@TuiteoBarinas</v>
      </c>
      <c r="C2451" s="8" t="s">
        <v>7990</v>
      </c>
      <c r="D2451" s="9" t="s">
        <v>4680</v>
      </c>
      <c r="E2451" s="10" t="str">
        <f>HYPERLINK("https://twitter.com/TuiteoBarinas/status/1070663451515777024","1070663451515777024")</f>
        <v>1070663451515777024</v>
      </c>
      <c r="F2451" s="11" t="s">
        <v>7991</v>
      </c>
      <c r="G2451" s="12"/>
      <c r="H2451" s="12"/>
      <c r="I2451" s="13">
        <v>0</v>
      </c>
      <c r="J2451" s="13">
        <v>0</v>
      </c>
      <c r="K2451" s="14" t="str">
        <f>HYPERLINK("https://ifttt.com","IFTTT")</f>
        <v>IFTTT</v>
      </c>
      <c r="L2451" s="13">
        <v>1606</v>
      </c>
      <c r="M2451" s="13">
        <v>217</v>
      </c>
      <c r="N2451" s="13">
        <v>28</v>
      </c>
      <c r="O2451" s="15"/>
      <c r="P2451" s="6">
        <v>41903.102997685186</v>
      </c>
      <c r="Q2451" s="16" t="s">
        <v>7992</v>
      </c>
      <c r="R2451" s="17" t="s">
        <v>7993</v>
      </c>
      <c r="S2451" s="12"/>
      <c r="T2451" s="12"/>
      <c r="U2451" s="10" t="str">
        <f>HYPERLINK("https://pbs.twimg.com/profile_images/513487752927531008/-bWkTjph.png","View")</f>
        <v>View</v>
      </c>
    </row>
    <row r="2452" spans="1:21" ht="30.6">
      <c r="A2452" s="6">
        <v>43440.581111111111</v>
      </c>
      <c r="B2452" s="7" t="str">
        <f>HYPERLINK("https://twitter.com/MarcLLodra","@MarcLLodra")</f>
        <v>@MarcLLodra</v>
      </c>
      <c r="C2452" s="8" t="s">
        <v>7994</v>
      </c>
      <c r="D2452" s="9" t="s">
        <v>7995</v>
      </c>
      <c r="E2452" s="10" t="str">
        <f>HYPERLINK("https://twitter.com/MarcLLodra/status/1070663348503629826","1070663348503629826")</f>
        <v>1070663348503629826</v>
      </c>
      <c r="F2452" s="12"/>
      <c r="G2452" s="12"/>
      <c r="H2452" s="12"/>
      <c r="I2452" s="13">
        <v>0</v>
      </c>
      <c r="J2452" s="13">
        <v>4</v>
      </c>
      <c r="K2452" s="14" t="str">
        <f>HYPERLINK("http://twitter.com/download/android","Twitter for Android")</f>
        <v>Twitter for Android</v>
      </c>
      <c r="L2452" s="13">
        <v>1406</v>
      </c>
      <c r="M2452" s="13">
        <v>2646</v>
      </c>
      <c r="N2452" s="13">
        <v>18</v>
      </c>
      <c r="O2452" s="15"/>
      <c r="P2452" s="6">
        <v>40779.53197916667</v>
      </c>
      <c r="Q2452" s="16" t="s">
        <v>45</v>
      </c>
      <c r="R2452" s="17" t="s">
        <v>7996</v>
      </c>
      <c r="S2452" s="11" t="s">
        <v>7997</v>
      </c>
      <c r="T2452" s="12"/>
      <c r="U2452" s="10" t="str">
        <f>HYPERLINK("https://pbs.twimg.com/profile_images/1044545719586222080/7hy425Cs.jpg","View")</f>
        <v>View</v>
      </c>
    </row>
    <row r="2453" spans="1:21" ht="30.6">
      <c r="A2453" s="6">
        <v>43440.580833333333</v>
      </c>
      <c r="B2453" s="7" t="str">
        <f>HYPERLINK("https://twitter.com/fjfsanchez1964","@fjfsanchez1964")</f>
        <v>@fjfsanchez1964</v>
      </c>
      <c r="C2453" s="8" t="s">
        <v>7998</v>
      </c>
      <c r="D2453" s="9" t="s">
        <v>7999</v>
      </c>
      <c r="E2453" s="10" t="str">
        <f>HYPERLINK("https://twitter.com/fjfsanchez1964/status/1070663244887527424","1070663244887527424")</f>
        <v>1070663244887527424</v>
      </c>
      <c r="F2453" s="11" t="s">
        <v>8000</v>
      </c>
      <c r="G2453" s="12"/>
      <c r="H2453" s="12"/>
      <c r="I2453" s="13">
        <v>0</v>
      </c>
      <c r="J2453" s="13">
        <v>0</v>
      </c>
      <c r="K2453" s="14" t="str">
        <f>HYPERLINK("http://twitter.com","Twitter Web Client")</f>
        <v>Twitter Web Client</v>
      </c>
      <c r="L2453" s="13">
        <v>340</v>
      </c>
      <c r="M2453" s="13">
        <v>430</v>
      </c>
      <c r="N2453" s="13">
        <v>10</v>
      </c>
      <c r="O2453" s="15"/>
      <c r="P2453" s="6">
        <v>41892.484444444446</v>
      </c>
      <c r="Q2453" s="16" t="s">
        <v>8001</v>
      </c>
      <c r="R2453" s="17" t="s">
        <v>8002</v>
      </c>
      <c r="S2453" s="12"/>
      <c r="T2453" s="12"/>
      <c r="U2453" s="10" t="str">
        <f>HYPERLINK("https://pbs.twimg.com/profile_images/909446899694018560/fK6VXfTh.jpg","View")</f>
        <v>View</v>
      </c>
    </row>
    <row r="2454" spans="1:21" ht="30.6">
      <c r="A2454" s="6">
        <v>43440.580787037034</v>
      </c>
      <c r="B2454" s="7" t="str">
        <f>HYPERLINK("https://twitter.com/EPpolitica_cat","@EPpolitica_cat")</f>
        <v>@EPpolitica_cat</v>
      </c>
      <c r="C2454" s="8" t="s">
        <v>8003</v>
      </c>
      <c r="D2454" s="9" t="s">
        <v>8004</v>
      </c>
      <c r="E2454" s="10" t="str">
        <f>HYPERLINK("https://twitter.com/EPpolitica_cat/status/1070663229842579456","1070663229842579456")</f>
        <v>1070663229842579456</v>
      </c>
      <c r="F2454" s="11" t="s">
        <v>8005</v>
      </c>
      <c r="G2454" s="12"/>
      <c r="H2454" s="12"/>
      <c r="I2454" s="13">
        <v>0</v>
      </c>
      <c r="J2454" s="13">
        <v>0</v>
      </c>
      <c r="K2454" s="14" t="str">
        <f t="shared" ref="K2454:K2455" si="422">HYPERLINK("http://dogtrack.es","DogTrack_Oficial")</f>
        <v>DogTrack_Oficial</v>
      </c>
      <c r="L2454" s="13">
        <v>495</v>
      </c>
      <c r="M2454" s="13">
        <v>28</v>
      </c>
      <c r="N2454" s="13">
        <v>33</v>
      </c>
      <c r="O2454" s="15"/>
      <c r="P2454" s="6">
        <v>40962.60020833333</v>
      </c>
      <c r="Q2454" s="16" t="s">
        <v>85</v>
      </c>
      <c r="R2454" s="17" t="s">
        <v>8006</v>
      </c>
      <c r="S2454" s="11" t="s">
        <v>8007</v>
      </c>
      <c r="T2454" s="12"/>
      <c r="U2454" s="10" t="str">
        <f>HYPERLINK("https://pbs.twimg.com/profile_images/875761032656039936/hFgvHCux.jpg","View")</f>
        <v>View</v>
      </c>
    </row>
    <row r="2455" spans="1:21" ht="30.6">
      <c r="A2455" s="6">
        <v>43440.580787037034</v>
      </c>
      <c r="B2455" s="7" t="str">
        <f>HYPERLINK("https://twitter.com/eppolitica_cas","@eppolitica_cas")</f>
        <v>@eppolitica_cas</v>
      </c>
      <c r="C2455" s="8" t="s">
        <v>8003</v>
      </c>
      <c r="D2455" s="9" t="s">
        <v>8008</v>
      </c>
      <c r="E2455" s="10" t="str">
        <f>HYPERLINK("https://twitter.com/eppolitica_cas/status/1070663229658095616","1070663229658095616")</f>
        <v>1070663229658095616</v>
      </c>
      <c r="F2455" s="11" t="s">
        <v>8009</v>
      </c>
      <c r="G2455" s="12"/>
      <c r="H2455" s="12"/>
      <c r="I2455" s="13">
        <v>0</v>
      </c>
      <c r="J2455" s="13">
        <v>0</v>
      </c>
      <c r="K2455" s="14" t="str">
        <f t="shared" si="422"/>
        <v>DogTrack_Oficial</v>
      </c>
      <c r="L2455" s="13">
        <v>2176</v>
      </c>
      <c r="M2455" s="13">
        <v>418</v>
      </c>
      <c r="N2455" s="13">
        <v>94</v>
      </c>
      <c r="O2455" s="15"/>
      <c r="P2455" s="6">
        <v>40865.720717592594</v>
      </c>
      <c r="Q2455" s="16" t="s">
        <v>85</v>
      </c>
      <c r="R2455" s="17" t="s">
        <v>8010</v>
      </c>
      <c r="S2455" s="11" t="s">
        <v>8011</v>
      </c>
      <c r="T2455" s="12"/>
      <c r="U2455" s="10" t="str">
        <f>HYPERLINK("https://pbs.twimg.com/profile_images/875759451344691201/7oHgCmMx.jpg","View")</f>
        <v>View</v>
      </c>
    </row>
    <row r="2456" spans="1:21" ht="40.799999999999997">
      <c r="A2456" s="6">
        <v>43440.580729166672</v>
      </c>
      <c r="B2456" s="7" t="str">
        <f>HYPERLINK("https://twitter.com/Analisto94","@Analisto94")</f>
        <v>@Analisto94</v>
      </c>
      <c r="C2456" s="8" t="s">
        <v>8012</v>
      </c>
      <c r="D2456" s="9" t="s">
        <v>8013</v>
      </c>
      <c r="E2456" s="10" t="str">
        <f>HYPERLINK("https://twitter.com/Analisto94/status/1070663209319874560","1070663209319874560")</f>
        <v>1070663209319874560</v>
      </c>
      <c r="F2456" s="12"/>
      <c r="G2456" s="12"/>
      <c r="H2456" s="12"/>
      <c r="I2456" s="13">
        <v>0</v>
      </c>
      <c r="J2456" s="13">
        <v>0</v>
      </c>
      <c r="K2456" s="14" t="str">
        <f>HYPERLINK("http://twitter.com","Twitter Web Client")</f>
        <v>Twitter Web Client</v>
      </c>
      <c r="L2456" s="13">
        <v>318</v>
      </c>
      <c r="M2456" s="13">
        <v>882</v>
      </c>
      <c r="N2456" s="13">
        <v>7</v>
      </c>
      <c r="O2456" s="15"/>
      <c r="P2456" s="6">
        <v>42472.730370370366</v>
      </c>
      <c r="Q2456" s="16" t="s">
        <v>8014</v>
      </c>
      <c r="R2456" s="17" t="s">
        <v>8015</v>
      </c>
      <c r="S2456" s="11" t="s">
        <v>8016</v>
      </c>
      <c r="T2456" s="12"/>
      <c r="U2456" s="10" t="str">
        <f>HYPERLINK("https://pbs.twimg.com/profile_images/1047804258748383233/bXeztYp9.jpg","View")</f>
        <v>View</v>
      </c>
    </row>
    <row r="2457" spans="1:21" ht="30.6">
      <c r="A2457" s="6">
        <v>43440.579988425925</v>
      </c>
      <c r="B2457" s="7" t="str">
        <f>HYPERLINK("https://twitter.com/joseluiscasad11","@joseluiscasad11")</f>
        <v>@joseluiscasad11</v>
      </c>
      <c r="C2457" s="8" t="s">
        <v>8017</v>
      </c>
      <c r="D2457" s="9" t="s">
        <v>8018</v>
      </c>
      <c r="E2457" s="10" t="str">
        <f>HYPERLINK("https://twitter.com/joseluiscasad11/status/1070662940624371712","1070662940624371712")</f>
        <v>1070662940624371712</v>
      </c>
      <c r="F2457" s="11" t="s">
        <v>8019</v>
      </c>
      <c r="G2457" s="12"/>
      <c r="H2457" s="12"/>
      <c r="I2457" s="13">
        <v>0</v>
      </c>
      <c r="J2457" s="13">
        <v>0</v>
      </c>
      <c r="K2457" s="14" t="str">
        <f>HYPERLINK("http://twitter.com/download/android","Twitter for Android")</f>
        <v>Twitter for Android</v>
      </c>
      <c r="L2457" s="13">
        <v>217</v>
      </c>
      <c r="M2457" s="13">
        <v>538</v>
      </c>
      <c r="N2457" s="13">
        <v>14</v>
      </c>
      <c r="O2457" s="15"/>
      <c r="P2457" s="6">
        <v>41818.797685185185</v>
      </c>
      <c r="Q2457" s="12"/>
      <c r="R2457" s="19"/>
      <c r="S2457" s="12"/>
      <c r="T2457" s="12"/>
      <c r="U2457" s="10" t="str">
        <f>HYPERLINK("https://pbs.twimg.com/profile_images/1064133542085578752/jeMqJAy6.jpg","View")</f>
        <v>View</v>
      </c>
    </row>
    <row r="2458" spans="1:21" ht="20.399999999999999">
      <c r="A2458" s="6">
        <v>43440.579907407402</v>
      </c>
      <c r="B2458" s="7" t="str">
        <f>HYPERLINK("https://twitter.com/JfernandezUpo","@JfernandezUpo")</f>
        <v>@JfernandezUpo</v>
      </c>
      <c r="C2458" s="8" t="s">
        <v>8020</v>
      </c>
      <c r="D2458" s="9" t="s">
        <v>6135</v>
      </c>
      <c r="E2458" s="10" t="str">
        <f>HYPERLINK("https://twitter.com/JfernandezUpo/status/1070662911239118849","1070662911239118849")</f>
        <v>1070662911239118849</v>
      </c>
      <c r="F2458" s="11" t="s">
        <v>6136</v>
      </c>
      <c r="G2458" s="12"/>
      <c r="H2458" s="12"/>
      <c r="I2458" s="13">
        <v>0</v>
      </c>
      <c r="J2458" s="13">
        <v>0</v>
      </c>
      <c r="K2458" s="14" t="str">
        <f t="shared" ref="K2458:K2459" si="423">HYPERLINK("http://twitter.com","Twitter Web Client")</f>
        <v>Twitter Web Client</v>
      </c>
      <c r="L2458" s="13">
        <v>109</v>
      </c>
      <c r="M2458" s="13">
        <v>247</v>
      </c>
      <c r="N2458" s="13">
        <v>1</v>
      </c>
      <c r="O2458" s="15"/>
      <c r="P2458" s="6">
        <v>42277.780462962968</v>
      </c>
      <c r="Q2458" s="16" t="s">
        <v>1073</v>
      </c>
      <c r="R2458" s="19"/>
      <c r="S2458" s="12"/>
      <c r="T2458" s="12"/>
      <c r="U2458" s="10" t="str">
        <f>HYPERLINK("https://pbs.twimg.com/profile_images/649263943614119936/_cIdef-o.jpg","View")</f>
        <v>View</v>
      </c>
    </row>
    <row r="2459" spans="1:21" ht="40.799999999999997">
      <c r="A2459" s="6">
        <v>43440.579398148147</v>
      </c>
      <c r="B2459" s="7" t="str">
        <f>HYPERLINK("https://twitter.com/epphm","@epphm")</f>
        <v>@epphm</v>
      </c>
      <c r="C2459" s="8" t="s">
        <v>8021</v>
      </c>
      <c r="D2459" s="9" t="s">
        <v>5023</v>
      </c>
      <c r="E2459" s="10" t="str">
        <f>HYPERLINK("https://twitter.com/epphm/status/1070662726966538251","1070662726966538251")</f>
        <v>1070662726966538251</v>
      </c>
      <c r="F2459" s="11" t="s">
        <v>6660</v>
      </c>
      <c r="G2459" s="12"/>
      <c r="H2459" s="12"/>
      <c r="I2459" s="13">
        <v>0</v>
      </c>
      <c r="J2459" s="13">
        <v>0</v>
      </c>
      <c r="K2459" s="14" t="str">
        <f t="shared" si="423"/>
        <v>Twitter Web Client</v>
      </c>
      <c r="L2459" s="13">
        <v>874</v>
      </c>
      <c r="M2459" s="13">
        <v>526</v>
      </c>
      <c r="N2459" s="13">
        <v>24</v>
      </c>
      <c r="O2459" s="15"/>
      <c r="P2459" s="6">
        <v>40254.635567129633</v>
      </c>
      <c r="Q2459" s="16" t="s">
        <v>3231</v>
      </c>
      <c r="R2459" s="17" t="s">
        <v>8022</v>
      </c>
      <c r="S2459" s="11" t="s">
        <v>8023</v>
      </c>
      <c r="T2459" s="12"/>
      <c r="U2459" s="10" t="str">
        <f>HYPERLINK("https://pbs.twimg.com/profile_images/947292452838404096/MZPzRG2K.jpg","View")</f>
        <v>View</v>
      </c>
    </row>
    <row r="2460" spans="1:21" ht="30.6">
      <c r="A2460" s="6">
        <v>43440.579004629632</v>
      </c>
      <c r="B2460" s="7" t="str">
        <f>HYPERLINK("https://twitter.com/EmeWazowski","@EmeWazowski")</f>
        <v>@EmeWazowski</v>
      </c>
      <c r="C2460" s="8" t="s">
        <v>8024</v>
      </c>
      <c r="D2460" s="9" t="s">
        <v>8025</v>
      </c>
      <c r="E2460" s="10" t="str">
        <f>HYPERLINK("https://twitter.com/EmeWazowski/status/1070662582179151878","1070662582179151878")</f>
        <v>1070662582179151878</v>
      </c>
      <c r="F2460" s="11" t="s">
        <v>3050</v>
      </c>
      <c r="G2460" s="11" t="s">
        <v>3051</v>
      </c>
      <c r="H2460" s="12"/>
      <c r="I2460" s="13">
        <v>0</v>
      </c>
      <c r="J2460" s="13">
        <v>1</v>
      </c>
      <c r="K2460" s="14" t="str">
        <f>HYPERLINK("http://twitter.com/download/android","Twitter for Android")</f>
        <v>Twitter for Android</v>
      </c>
      <c r="L2460" s="13">
        <v>44</v>
      </c>
      <c r="M2460" s="13">
        <v>57</v>
      </c>
      <c r="N2460" s="13">
        <v>0</v>
      </c>
      <c r="O2460" s="15"/>
      <c r="P2460" s="6">
        <v>43194.47587962963</v>
      </c>
      <c r="Q2460" s="16" t="s">
        <v>8026</v>
      </c>
      <c r="R2460" s="19"/>
      <c r="S2460" s="12"/>
      <c r="T2460" s="12"/>
      <c r="U2460" s="10" t="str">
        <f>HYPERLINK("https://pbs.twimg.com/profile_images/1069221200059088897/yxPHoAE9.jpg","View")</f>
        <v>View</v>
      </c>
    </row>
    <row r="2461" spans="1:21" ht="20.399999999999999">
      <c r="A2461" s="6">
        <v>43440.578703703708</v>
      </c>
      <c r="B2461" s="7" t="str">
        <f>HYPERLINK("https://twitter.com/TuiteoAragua","@TuiteoAragua")</f>
        <v>@TuiteoAragua</v>
      </c>
      <c r="C2461" s="8" t="s">
        <v>8027</v>
      </c>
      <c r="D2461" s="9" t="s">
        <v>4680</v>
      </c>
      <c r="E2461" s="10" t="str">
        <f>HYPERLINK("https://twitter.com/TuiteoAragua/status/1070662475807375360","1070662475807375360")</f>
        <v>1070662475807375360</v>
      </c>
      <c r="F2461" s="11" t="s">
        <v>8028</v>
      </c>
      <c r="G2461" s="12"/>
      <c r="H2461" s="12"/>
      <c r="I2461" s="13">
        <v>0</v>
      </c>
      <c r="J2461" s="13">
        <v>0</v>
      </c>
      <c r="K2461" s="14" t="str">
        <f>HYPERLINK("https://ifttt.com","IFTTT")</f>
        <v>IFTTT</v>
      </c>
      <c r="L2461" s="13">
        <v>1643</v>
      </c>
      <c r="M2461" s="13">
        <v>675</v>
      </c>
      <c r="N2461" s="13">
        <v>24</v>
      </c>
      <c r="O2461" s="15"/>
      <c r="P2461" s="6">
        <v>41473.20585648148</v>
      </c>
      <c r="Q2461" s="12"/>
      <c r="R2461" s="17" t="s">
        <v>8029</v>
      </c>
      <c r="S2461" s="11" t="s">
        <v>8030</v>
      </c>
      <c r="T2461" s="12"/>
      <c r="U2461" s="10" t="str">
        <f>HYPERLINK("https://pbs.twimg.com/profile_images/508435765374644224/_Tvimiik.png","View")</f>
        <v>View</v>
      </c>
    </row>
    <row r="2462" spans="1:21" ht="30.6">
      <c r="A2462" s="6">
        <v>43440.57849537037</v>
      </c>
      <c r="B2462" s="7" t="str">
        <f>HYPERLINK("https://twitter.com/Alfredo12455091","@Alfredo12455091")</f>
        <v>@Alfredo12455091</v>
      </c>
      <c r="C2462" s="8" t="s">
        <v>8031</v>
      </c>
      <c r="D2462" s="9" t="s">
        <v>8032</v>
      </c>
      <c r="E2462" s="10" t="str">
        <f>HYPERLINK("https://twitter.com/Alfredo12455091/status/1070662397575249920","1070662397575249920")</f>
        <v>1070662397575249920</v>
      </c>
      <c r="F2462" s="12"/>
      <c r="G2462" s="12"/>
      <c r="H2462" s="12"/>
      <c r="I2462" s="13">
        <v>0</v>
      </c>
      <c r="J2462" s="13">
        <v>0</v>
      </c>
      <c r="K2462" s="14" t="str">
        <f>HYPERLINK("http://twitter.com","Twitter Web Client")</f>
        <v>Twitter Web Client</v>
      </c>
      <c r="L2462" s="13">
        <v>23</v>
      </c>
      <c r="M2462" s="13">
        <v>30</v>
      </c>
      <c r="N2462" s="13">
        <v>0</v>
      </c>
      <c r="O2462" s="15"/>
      <c r="P2462" s="6">
        <v>43386.930451388893</v>
      </c>
      <c r="Q2462" s="16" t="s">
        <v>8033</v>
      </c>
      <c r="R2462" s="17" t="s">
        <v>8034</v>
      </c>
      <c r="S2462" s="12"/>
      <c r="T2462" s="12"/>
      <c r="U2462" s="10" t="str">
        <f>HYPERLINK("https://pbs.twimg.com/profile_images/1071034228689768448/pOIFi2bu.jpg","View")</f>
        <v>View</v>
      </c>
    </row>
    <row r="2463" spans="1:21" ht="30.6">
      <c r="A2463" s="6">
        <v>43440.578333333338</v>
      </c>
      <c r="B2463" s="7" t="str">
        <f>HYPERLINK("https://twitter.com/brunobergeide","@brunobergeide")</f>
        <v>@brunobergeide</v>
      </c>
      <c r="C2463" s="8" t="s">
        <v>8035</v>
      </c>
      <c r="D2463" s="9" t="s">
        <v>6259</v>
      </c>
      <c r="E2463" s="10" t="str">
        <f>HYPERLINK("https://twitter.com/brunobergeide/status/1070662341262483457","1070662341262483457")</f>
        <v>1070662341262483457</v>
      </c>
      <c r="F2463" s="11" t="s">
        <v>6260</v>
      </c>
      <c r="G2463" s="12"/>
      <c r="H2463" s="12"/>
      <c r="I2463" s="13">
        <v>0</v>
      </c>
      <c r="J2463" s="13">
        <v>0</v>
      </c>
      <c r="K2463" s="14" t="str">
        <f>HYPERLINK("http://twitter.com/download/android","Twitter for Android")</f>
        <v>Twitter for Android</v>
      </c>
      <c r="L2463" s="13">
        <v>52</v>
      </c>
      <c r="M2463" s="13">
        <v>188</v>
      </c>
      <c r="N2463" s="13">
        <v>0</v>
      </c>
      <c r="O2463" s="15"/>
      <c r="P2463" s="6">
        <v>41741.812881944446</v>
      </c>
      <c r="Q2463" s="16" t="s">
        <v>8036</v>
      </c>
      <c r="R2463" s="17" t="s">
        <v>8037</v>
      </c>
      <c r="S2463" s="12"/>
      <c r="T2463" s="12"/>
      <c r="U2463" s="10" t="str">
        <f>HYPERLINK("https://pbs.twimg.com/profile_images/455042940906135552/kdgdbLUi.jpeg","View")</f>
        <v>View</v>
      </c>
    </row>
    <row r="2464" spans="1:21" ht="30.6">
      <c r="A2464" s="6">
        <v>43440.578310185185</v>
      </c>
      <c r="B2464" s="7" t="str">
        <f>HYPERLINK("https://twitter.com/carsmas","@carsmas")</f>
        <v>@carsmas</v>
      </c>
      <c r="C2464" s="8" t="s">
        <v>8038</v>
      </c>
      <c r="D2464" s="9" t="s">
        <v>8039</v>
      </c>
      <c r="E2464" s="10" t="str">
        <f>HYPERLINK("https://twitter.com/carsmas/status/1070662333582708736","1070662333582708736")</f>
        <v>1070662333582708736</v>
      </c>
      <c r="F2464" s="12"/>
      <c r="G2464" s="12"/>
      <c r="H2464" s="12"/>
      <c r="I2464" s="13">
        <v>0</v>
      </c>
      <c r="J2464" s="13">
        <v>0</v>
      </c>
      <c r="K2464" s="14" t="str">
        <f>HYPERLINK("http://twitter.com","Twitter Web Client")</f>
        <v>Twitter Web Client</v>
      </c>
      <c r="L2464" s="13">
        <v>59</v>
      </c>
      <c r="M2464" s="13">
        <v>74</v>
      </c>
      <c r="N2464" s="13">
        <v>0</v>
      </c>
      <c r="O2464" s="15"/>
      <c r="P2464" s="6">
        <v>41227.512060185181</v>
      </c>
      <c r="Q2464" s="12"/>
      <c r="R2464" s="19"/>
      <c r="S2464" s="12"/>
      <c r="T2464" s="12"/>
      <c r="U2464" s="10" t="str">
        <f>HYPERLINK("https://pbs.twimg.com/profile_images/692358085084594176/OfL-ohaw.jpg","View")</f>
        <v>View</v>
      </c>
    </row>
    <row r="2465" spans="1:21" ht="40.799999999999997">
      <c r="A2465" s="6">
        <v>43440.577777777777</v>
      </c>
      <c r="B2465" s="7" t="str">
        <f>HYPERLINK("https://twitter.com/bcn2day","@bcn2day")</f>
        <v>@bcn2day</v>
      </c>
      <c r="C2465" s="8" t="s">
        <v>8040</v>
      </c>
      <c r="D2465" s="9" t="s">
        <v>8041</v>
      </c>
      <c r="E2465" s="10" t="str">
        <f>HYPERLINK("https://twitter.com/bcn2day/status/1070662139365482496","1070662139365482496")</f>
        <v>1070662139365482496</v>
      </c>
      <c r="F2465" s="11" t="s">
        <v>8042</v>
      </c>
      <c r="G2465" s="12"/>
      <c r="H2465" s="12"/>
      <c r="I2465" s="13">
        <v>0</v>
      </c>
      <c r="J2465" s="13">
        <v>0</v>
      </c>
      <c r="K2465" s="14" t="str">
        <f>HYPERLINK("http://www.facebook.com/twitter","Facebook")</f>
        <v>Facebook</v>
      </c>
      <c r="L2465" s="13">
        <v>61</v>
      </c>
      <c r="M2465" s="13">
        <v>10</v>
      </c>
      <c r="N2465" s="13">
        <v>1</v>
      </c>
      <c r="O2465" s="15"/>
      <c r="P2465" s="6">
        <v>42264.120567129634</v>
      </c>
      <c r="Q2465" s="12"/>
      <c r="R2465" s="19"/>
      <c r="S2465" s="12"/>
      <c r="T2465" s="12"/>
      <c r="U2465" s="10" t="str">
        <f>HYPERLINK("https://pbs.twimg.com/profile_images/644504700356816896/LMbKA-C7.jpg","View")</f>
        <v>View</v>
      </c>
    </row>
    <row r="2466" spans="1:21" ht="51">
      <c r="A2466" s="6">
        <v>43440.577175925922</v>
      </c>
      <c r="B2466" s="7" t="str">
        <f>HYPERLINK("https://twitter.com/Edu_AriasAE","@Edu_AriasAE")</f>
        <v>@Edu_AriasAE</v>
      </c>
      <c r="C2466" s="8" t="s">
        <v>8043</v>
      </c>
      <c r="D2466" s="9" t="s">
        <v>8044</v>
      </c>
      <c r="E2466" s="10" t="str">
        <f>HYPERLINK("https://twitter.com/Edu_AriasAE/status/1070661922276675584","1070661922276675584")</f>
        <v>1070661922276675584</v>
      </c>
      <c r="F2466" s="11" t="s">
        <v>8045</v>
      </c>
      <c r="G2466" s="11" t="s">
        <v>8046</v>
      </c>
      <c r="H2466" s="12"/>
      <c r="I2466" s="13">
        <v>0</v>
      </c>
      <c r="J2466" s="13">
        <v>0</v>
      </c>
      <c r="K2466" s="14" t="str">
        <f>HYPERLINK("http://twitter.com","Twitter Web Client")</f>
        <v>Twitter Web Client</v>
      </c>
      <c r="L2466" s="13">
        <v>1595</v>
      </c>
      <c r="M2466" s="13">
        <v>1629</v>
      </c>
      <c r="N2466" s="13">
        <v>17</v>
      </c>
      <c r="O2466" s="15"/>
      <c r="P2466" s="6">
        <v>43021.883703703701</v>
      </c>
      <c r="Q2466" s="16" t="s">
        <v>60</v>
      </c>
      <c r="R2466" s="17" t="s">
        <v>8047</v>
      </c>
      <c r="S2466" s="12"/>
      <c r="T2466" s="12"/>
      <c r="U2466" s="10" t="str">
        <f>HYPERLINK("https://pbs.twimg.com/profile_images/1060488387327598592/mTIb61SV.jpg","View")</f>
        <v>View</v>
      </c>
    </row>
    <row r="2467" spans="1:21" ht="30.6">
      <c r="A2467" s="6">
        <v>43440.57707175926</v>
      </c>
      <c r="B2467" s="7" t="str">
        <f>HYPERLINK("https://twitter.com/neWashMarbella","@neWashMarbella")</f>
        <v>@neWashMarbella</v>
      </c>
      <c r="C2467" s="8" t="s">
        <v>42</v>
      </c>
      <c r="D2467" s="9" t="s">
        <v>8048</v>
      </c>
      <c r="E2467" s="10" t="str">
        <f>HYPERLINK("https://twitter.com/neWashMarbella/status/1070661881029902342","1070661881029902342")</f>
        <v>1070661881029902342</v>
      </c>
      <c r="F2467" s="11" t="s">
        <v>8049</v>
      </c>
      <c r="G2467" s="12"/>
      <c r="H2467" s="12"/>
      <c r="I2467" s="13">
        <v>0</v>
      </c>
      <c r="J2467" s="13">
        <v>0</v>
      </c>
      <c r="K2467" s="14" t="str">
        <f>HYPERLINK("http://www.facebook.com/twitter","Facebook")</f>
        <v>Facebook</v>
      </c>
      <c r="L2467" s="13">
        <v>622</v>
      </c>
      <c r="M2467" s="13">
        <v>1620</v>
      </c>
      <c r="N2467" s="13">
        <v>1</v>
      </c>
      <c r="O2467" s="15"/>
      <c r="P2467" s="6">
        <v>42127.886643518519</v>
      </c>
      <c r="Q2467" s="12"/>
      <c r="R2467" s="19"/>
      <c r="S2467" s="12"/>
      <c r="T2467" s="12"/>
      <c r="U2467" s="10" t="str">
        <f>HYPERLINK("https://pbs.twimg.com/profile_images/1033765960342228993/KPSIo5sv.jpg","View")</f>
        <v>View</v>
      </c>
    </row>
    <row r="2468" spans="1:21" ht="40.799999999999997">
      <c r="A2468" s="6">
        <v>43440.576956018514</v>
      </c>
      <c r="B2468" s="7" t="str">
        <f>HYPERLINK("https://twitter.com/zeltia86","@zeltia86")</f>
        <v>@zeltia86</v>
      </c>
      <c r="C2468" s="8" t="s">
        <v>8050</v>
      </c>
      <c r="D2468" s="9" t="s">
        <v>8051</v>
      </c>
      <c r="E2468" s="10" t="str">
        <f>HYPERLINK("https://twitter.com/zeltia86/status/1070661841515397122","1070661841515397122")</f>
        <v>1070661841515397122</v>
      </c>
      <c r="F2468" s="12"/>
      <c r="G2468" s="12"/>
      <c r="H2468" s="12"/>
      <c r="I2468" s="13">
        <v>1</v>
      </c>
      <c r="J2468" s="13">
        <v>2</v>
      </c>
      <c r="K2468" s="14" t="str">
        <f>HYPERLINK("http://twitter.com/download/android","Twitter for Android")</f>
        <v>Twitter for Android</v>
      </c>
      <c r="L2468" s="13">
        <v>1939</v>
      </c>
      <c r="M2468" s="13">
        <v>799</v>
      </c>
      <c r="N2468" s="13">
        <v>56</v>
      </c>
      <c r="O2468" s="15"/>
      <c r="P2468" s="6">
        <v>40245.797037037039</v>
      </c>
      <c r="Q2468" s="16" t="s">
        <v>119</v>
      </c>
      <c r="R2468" s="17" t="s">
        <v>8052</v>
      </c>
      <c r="S2468" s="11" t="s">
        <v>8053</v>
      </c>
      <c r="T2468" s="12"/>
      <c r="U2468" s="10" t="str">
        <f>HYPERLINK("https://pbs.twimg.com/profile_images/1029359232079028225/0TcDtiDL.jpg","View")</f>
        <v>View</v>
      </c>
    </row>
    <row r="2469" spans="1:21" ht="102">
      <c r="A2469" s="6">
        <v>43440.57640046296</v>
      </c>
      <c r="B2469" s="7" t="str">
        <f>HYPERLINK("https://twitter.com/CecilioCastro","@CecilioCastro")</f>
        <v>@CecilioCastro</v>
      </c>
      <c r="C2469" s="8" t="s">
        <v>8054</v>
      </c>
      <c r="D2469" s="9" t="s">
        <v>8055</v>
      </c>
      <c r="E2469" s="10" t="str">
        <f>HYPERLINK("https://twitter.com/CecilioCastro/status/1070661640759230465","1070661640759230465")</f>
        <v>1070661640759230465</v>
      </c>
      <c r="F2469" s="11" t="s">
        <v>8056</v>
      </c>
      <c r="G2469" s="12"/>
      <c r="H2469" s="12"/>
      <c r="I2469" s="13">
        <v>0</v>
      </c>
      <c r="J2469" s="13">
        <v>0</v>
      </c>
      <c r="K2469" s="14" t="str">
        <f>HYPERLINK("http://twitter.com/download/iphone","Twitter for iPhone")</f>
        <v>Twitter for iPhone</v>
      </c>
      <c r="L2469" s="13">
        <v>12772</v>
      </c>
      <c r="M2469" s="13">
        <v>13363</v>
      </c>
      <c r="N2469" s="13">
        <v>153</v>
      </c>
      <c r="O2469" s="15"/>
      <c r="P2469" s="6">
        <v>40830.855543981481</v>
      </c>
      <c r="Q2469" s="16" t="s">
        <v>8057</v>
      </c>
      <c r="R2469" s="17" t="s">
        <v>8058</v>
      </c>
      <c r="S2469" s="11" t="s">
        <v>8059</v>
      </c>
      <c r="T2469" s="12"/>
      <c r="U2469" s="10" t="str">
        <f>HYPERLINK("https://pbs.twimg.com/profile_images/1068939901536743426/UeIie-Fv.jpg","View")</f>
        <v>View</v>
      </c>
    </row>
    <row r="2470" spans="1:21" ht="30.6">
      <c r="A2470" s="6">
        <v>43440.576388888891</v>
      </c>
      <c r="B2470" s="7" t="str">
        <f>HYPERLINK("https://twitter.com/noticias_cuatro","@noticias_cuatro")</f>
        <v>@noticias_cuatro</v>
      </c>
      <c r="C2470" s="8" t="s">
        <v>8060</v>
      </c>
      <c r="D2470" s="9" t="s">
        <v>8061</v>
      </c>
      <c r="E2470" s="10" t="str">
        <f>HYPERLINK("https://twitter.com/noticias_cuatro/status/1070661634966896641","1070661634966896641")</f>
        <v>1070661634966896641</v>
      </c>
      <c r="F2470" s="11" t="s">
        <v>8062</v>
      </c>
      <c r="G2470" s="11" t="s">
        <v>8063</v>
      </c>
      <c r="H2470" s="12"/>
      <c r="I2470" s="13">
        <v>0</v>
      </c>
      <c r="J2470" s="13">
        <v>3</v>
      </c>
      <c r="K2470" s="14" t="str">
        <f>HYPERLINK("https://about.twitter.com/products/tweetdeck","TweetDeck")</f>
        <v>TweetDeck</v>
      </c>
      <c r="L2470" s="13">
        <v>831781</v>
      </c>
      <c r="M2470" s="13">
        <v>619</v>
      </c>
      <c r="N2470" s="13">
        <v>4692</v>
      </c>
      <c r="O2470" s="18" t="s">
        <v>41</v>
      </c>
      <c r="P2470" s="6">
        <v>40015.475694444445</v>
      </c>
      <c r="Q2470" s="16" t="s">
        <v>4974</v>
      </c>
      <c r="R2470" s="17" t="s">
        <v>8064</v>
      </c>
      <c r="S2470" s="11" t="s">
        <v>8065</v>
      </c>
      <c r="T2470" s="12"/>
      <c r="U2470" s="10" t="str">
        <f>HYPERLINK("https://pbs.twimg.com/profile_images/912643474855473153/8biMgBID.jpg","View")</f>
        <v>View</v>
      </c>
    </row>
    <row r="2471" spans="1:21" ht="40.799999999999997">
      <c r="A2471" s="6">
        <v>43440.576377314814</v>
      </c>
      <c r="B2471" s="7" t="str">
        <f>HYPERLINK("https://twitter.com/jmabarrue","@jmabarrue")</f>
        <v>@jmabarrue</v>
      </c>
      <c r="C2471" s="8" t="s">
        <v>8066</v>
      </c>
      <c r="D2471" s="9" t="s">
        <v>8067</v>
      </c>
      <c r="E2471" s="10" t="str">
        <f>HYPERLINK("https://twitter.com/jmabarrue/status/1070661631447887872","1070661631447887872")</f>
        <v>1070661631447887872</v>
      </c>
      <c r="F2471" s="12"/>
      <c r="G2471" s="12"/>
      <c r="H2471" s="12"/>
      <c r="I2471" s="13">
        <v>0</v>
      </c>
      <c r="J2471" s="13">
        <v>0</v>
      </c>
      <c r="K2471" s="14" t="str">
        <f>HYPERLINK("http://twitter.com/download/android","Twitter for Android")</f>
        <v>Twitter for Android</v>
      </c>
      <c r="L2471" s="13">
        <v>1705</v>
      </c>
      <c r="M2471" s="13">
        <v>1523</v>
      </c>
      <c r="N2471" s="13">
        <v>20</v>
      </c>
      <c r="O2471" s="15"/>
      <c r="P2471" s="6">
        <v>41275.586284722223</v>
      </c>
      <c r="Q2471" s="16" t="s">
        <v>8068</v>
      </c>
      <c r="R2471" s="17" t="s">
        <v>8069</v>
      </c>
      <c r="S2471" s="12"/>
      <c r="T2471" s="12"/>
      <c r="U2471" s="10" t="str">
        <f>HYPERLINK("https://pbs.twimg.com/profile_images/954661884191477761/75QtZ_mJ.jpg","View")</f>
        <v>View</v>
      </c>
    </row>
    <row r="2472" spans="1:21" ht="20.399999999999999">
      <c r="A2472" s="6">
        <v>43440.576365740737</v>
      </c>
      <c r="B2472" s="7" t="str">
        <f>HYPERLINK("https://twitter.com/quijoteysanchez","@quijoteysanchez")</f>
        <v>@quijoteysanchez</v>
      </c>
      <c r="C2472" s="8" t="s">
        <v>8070</v>
      </c>
      <c r="D2472" s="9" t="s">
        <v>4627</v>
      </c>
      <c r="E2472" s="10" t="str">
        <f>HYPERLINK("https://twitter.com/quijoteysanchez/status/1070661626603413504","1070661626603413504")</f>
        <v>1070661626603413504</v>
      </c>
      <c r="F2472" s="11" t="s">
        <v>4628</v>
      </c>
      <c r="G2472" s="12"/>
      <c r="H2472" s="12"/>
      <c r="I2472" s="13">
        <v>0</v>
      </c>
      <c r="J2472" s="13">
        <v>0</v>
      </c>
      <c r="K2472" s="14" t="str">
        <f t="shared" ref="K2472:K2473" si="424">HYPERLINK("http://twitter.com","Twitter Web Client")</f>
        <v>Twitter Web Client</v>
      </c>
      <c r="L2472" s="13">
        <v>2722</v>
      </c>
      <c r="M2472" s="13">
        <v>2587</v>
      </c>
      <c r="N2472" s="13">
        <v>27</v>
      </c>
      <c r="O2472" s="15"/>
      <c r="P2472" s="6">
        <v>40588.89126157407</v>
      </c>
      <c r="Q2472" s="16" t="s">
        <v>1223</v>
      </c>
      <c r="R2472" s="17" t="s">
        <v>8071</v>
      </c>
      <c r="S2472" s="11" t="s">
        <v>8072</v>
      </c>
      <c r="T2472" s="12"/>
      <c r="U2472" s="10" t="str">
        <f>HYPERLINK("https://pbs.twimg.com/profile_images/1015582037011501056/VZ6oD2gl.jpg","View")</f>
        <v>View</v>
      </c>
    </row>
    <row r="2473" spans="1:21" ht="20.399999999999999">
      <c r="A2473" s="6">
        <v>43440.576284722221</v>
      </c>
      <c r="B2473" s="7" t="str">
        <f>HYPERLINK("https://twitter.com/pistilo77","@pistilo77")</f>
        <v>@pistilo77</v>
      </c>
      <c r="C2473" s="8" t="s">
        <v>8073</v>
      </c>
      <c r="D2473" s="9" t="s">
        <v>8074</v>
      </c>
      <c r="E2473" s="10" t="str">
        <f>HYPERLINK("https://twitter.com/pistilo77/status/1070661597423640577","1070661597423640577")</f>
        <v>1070661597423640577</v>
      </c>
      <c r="F2473" s="11" t="s">
        <v>8075</v>
      </c>
      <c r="G2473" s="12"/>
      <c r="H2473" s="12"/>
      <c r="I2473" s="13">
        <v>0</v>
      </c>
      <c r="J2473" s="13">
        <v>0</v>
      </c>
      <c r="K2473" s="14" t="str">
        <f t="shared" si="424"/>
        <v>Twitter Web Client</v>
      </c>
      <c r="L2473" s="13">
        <v>572</v>
      </c>
      <c r="M2473" s="13">
        <v>62</v>
      </c>
      <c r="N2473" s="13">
        <v>4</v>
      </c>
      <c r="O2473" s="15"/>
      <c r="P2473" s="6">
        <v>39896.572627314818</v>
      </c>
      <c r="Q2473" s="12"/>
      <c r="R2473" s="19"/>
      <c r="S2473" s="12"/>
      <c r="T2473" s="12"/>
      <c r="U2473" s="10" t="str">
        <f>HYPERLINK("https://pbs.twimg.com/profile_images/945832148807880706/0ZYyTDDJ.jpg","View")</f>
        <v>View</v>
      </c>
    </row>
    <row r="2474" spans="1:21" ht="91.8">
      <c r="A2474" s="6">
        <v>43440.57612268519</v>
      </c>
      <c r="B2474" s="7" t="str">
        <f>HYPERLINK("https://twitter.com/jacintoheria78","@jacintoheria78")</f>
        <v>@jacintoheria78</v>
      </c>
      <c r="C2474" s="8" t="s">
        <v>8076</v>
      </c>
      <c r="D2474" s="9" t="s">
        <v>8077</v>
      </c>
      <c r="E2474" s="10" t="str">
        <f>HYPERLINK("https://twitter.com/jacintoheria78/status/1070661539835842560","1070661539835842560")</f>
        <v>1070661539835842560</v>
      </c>
      <c r="F2474" s="11" t="s">
        <v>6439</v>
      </c>
      <c r="G2474" s="11" t="s">
        <v>6440</v>
      </c>
      <c r="H2474" s="12"/>
      <c r="I2474" s="13">
        <v>1</v>
      </c>
      <c r="J2474" s="13">
        <v>3</v>
      </c>
      <c r="K2474" s="14" t="str">
        <f>HYPERLINK("http://twitter.com/download/android","Twitter for Android")</f>
        <v>Twitter for Android</v>
      </c>
      <c r="L2474" s="13">
        <v>1162</v>
      </c>
      <c r="M2474" s="13">
        <v>2254</v>
      </c>
      <c r="N2474" s="13">
        <v>11</v>
      </c>
      <c r="O2474" s="15"/>
      <c r="P2474" s="6">
        <v>42813.885138888887</v>
      </c>
      <c r="Q2474" s="16" t="s">
        <v>8078</v>
      </c>
      <c r="R2474" s="17" t="s">
        <v>8079</v>
      </c>
      <c r="S2474" s="12"/>
      <c r="T2474" s="12"/>
      <c r="U2474" s="10" t="str">
        <f>HYPERLINK("https://pbs.twimg.com/profile_images/1068609286115344385/scAUwaDK.jpg","View")</f>
        <v>View</v>
      </c>
    </row>
    <row r="2475" spans="1:21" ht="20.399999999999999">
      <c r="A2475" s="6">
        <v>43440.575856481482</v>
      </c>
      <c r="B2475" s="7" t="str">
        <f>HYPERLINK("https://twitter.com/JAB_1951","@JAB_1951")</f>
        <v>@JAB_1951</v>
      </c>
      <c r="C2475" s="8" t="s">
        <v>8080</v>
      </c>
      <c r="D2475" s="9" t="s">
        <v>8081</v>
      </c>
      <c r="E2475" s="10" t="str">
        <f>HYPERLINK("https://twitter.com/JAB_1951/status/1070661443907915778","1070661443907915778")</f>
        <v>1070661443907915778</v>
      </c>
      <c r="F2475" s="11" t="s">
        <v>7684</v>
      </c>
      <c r="G2475" s="12"/>
      <c r="H2475" s="12"/>
      <c r="I2475" s="13">
        <v>0</v>
      </c>
      <c r="J2475" s="13">
        <v>0</v>
      </c>
      <c r="K2475" s="14" t="str">
        <f>HYPERLINK("http://twitter.com","Twitter Web Client")</f>
        <v>Twitter Web Client</v>
      </c>
      <c r="L2475" s="13">
        <v>650</v>
      </c>
      <c r="M2475" s="13">
        <v>1527</v>
      </c>
      <c r="N2475" s="13">
        <v>9</v>
      </c>
      <c r="O2475" s="15"/>
      <c r="P2475" s="6">
        <v>40559.854780092595</v>
      </c>
      <c r="Q2475" s="16" t="s">
        <v>60</v>
      </c>
      <c r="R2475" s="17" t="s">
        <v>8082</v>
      </c>
      <c r="S2475" s="11" t="s">
        <v>8083</v>
      </c>
      <c r="T2475" s="12"/>
      <c r="U2475" s="10" t="str">
        <f>HYPERLINK("https://pbs.twimg.com/profile_images/620197847615578112/DuuuUBAg.jpg","View")</f>
        <v>View</v>
      </c>
    </row>
    <row r="2476" spans="1:21" ht="30.6">
      <c r="A2476" s="6">
        <v>43440.575497685189</v>
      </c>
      <c r="B2476" s="7" t="str">
        <f>HYPERLINK("https://twitter.com/PSOEparticipe","@PSOEparticipe")</f>
        <v>@PSOEparticipe</v>
      </c>
      <c r="C2476" s="8" t="s">
        <v>8084</v>
      </c>
      <c r="D2476" s="9" t="s">
        <v>7522</v>
      </c>
      <c r="E2476" s="10" t="str">
        <f>HYPERLINK("https://twitter.com/PSOEparticipe/status/1070661313142185985","1070661313142185985")</f>
        <v>1070661313142185985</v>
      </c>
      <c r="F2476" s="11" t="s">
        <v>7523</v>
      </c>
      <c r="G2476" s="12"/>
      <c r="H2476" s="12"/>
      <c r="I2476" s="13">
        <v>2</v>
      </c>
      <c r="J2476" s="13">
        <v>0</v>
      </c>
      <c r="K2476" s="14" t="str">
        <f>HYPERLINK("http://twitter.com/download/android","Twitter for Android")</f>
        <v>Twitter for Android</v>
      </c>
      <c r="L2476" s="13">
        <v>5253</v>
      </c>
      <c r="M2476" s="13">
        <v>2895</v>
      </c>
      <c r="N2476" s="13">
        <v>30</v>
      </c>
      <c r="O2476" s="15"/>
      <c r="P2476" s="6">
        <v>42705.594768518524</v>
      </c>
      <c r="Q2476" s="16" t="s">
        <v>60</v>
      </c>
      <c r="R2476" s="17" t="s">
        <v>8085</v>
      </c>
      <c r="S2476" s="12"/>
      <c r="T2476" s="12"/>
      <c r="U2476" s="10" t="str">
        <f>HYPERLINK("https://pbs.twimg.com/profile_images/804378266907852801/P645Le2H.jpg","View")</f>
        <v>View</v>
      </c>
    </row>
    <row r="2477" spans="1:21" ht="30.6">
      <c r="A2477" s="6">
        <v>43440.57508101852</v>
      </c>
      <c r="B2477" s="7" t="str">
        <f>HYPERLINK("https://twitter.com/TuiteoBarqto","@TuiteoBarqto")</f>
        <v>@TuiteoBarqto</v>
      </c>
      <c r="C2477" s="8" t="s">
        <v>8086</v>
      </c>
      <c r="D2477" s="9" t="s">
        <v>4680</v>
      </c>
      <c r="E2477" s="10" t="str">
        <f>HYPERLINK("https://twitter.com/TuiteoBarqto/status/1070661161010561026","1070661161010561026")</f>
        <v>1070661161010561026</v>
      </c>
      <c r="F2477" s="11" t="s">
        <v>8087</v>
      </c>
      <c r="G2477" s="12"/>
      <c r="H2477" s="12"/>
      <c r="I2477" s="13">
        <v>0</v>
      </c>
      <c r="J2477" s="13">
        <v>0</v>
      </c>
      <c r="K2477" s="14" t="str">
        <f>HYPERLINK("https://ifttt.com","IFTTT")</f>
        <v>IFTTT</v>
      </c>
      <c r="L2477" s="13">
        <v>2978</v>
      </c>
      <c r="M2477" s="13">
        <v>702</v>
      </c>
      <c r="N2477" s="13">
        <v>65</v>
      </c>
      <c r="O2477" s="15"/>
      <c r="P2477" s="6">
        <v>41328.074837962966</v>
      </c>
      <c r="Q2477" s="16" t="s">
        <v>8088</v>
      </c>
      <c r="R2477" s="17" t="s">
        <v>8089</v>
      </c>
      <c r="S2477" s="11" t="s">
        <v>8090</v>
      </c>
      <c r="T2477" s="12"/>
      <c r="U2477" s="10" t="str">
        <f>HYPERLINK("https://pbs.twimg.com/profile_images/3294213110/8a3e9f31f778543349b6fd5add7b009b.jpeg","View")</f>
        <v>View</v>
      </c>
    </row>
    <row r="2478" spans="1:21" ht="30.6">
      <c r="A2478" s="6">
        <v>43440.574826388889</v>
      </c>
      <c r="B2478" s="7" t="str">
        <f>HYPERLINK("https://twitter.com/pacoluisj","@pacoluisj")</f>
        <v>@pacoluisj</v>
      </c>
      <c r="C2478" s="8" t="s">
        <v>5261</v>
      </c>
      <c r="D2478" s="9" t="s">
        <v>3868</v>
      </c>
      <c r="E2478" s="10" t="str">
        <f>HYPERLINK("https://twitter.com/pacoluisj/status/1070661070237388800","1070661070237388800")</f>
        <v>1070661070237388800</v>
      </c>
      <c r="F2478" s="11" t="s">
        <v>3869</v>
      </c>
      <c r="G2478" s="12"/>
      <c r="H2478" s="12"/>
      <c r="I2478" s="13">
        <v>2</v>
      </c>
      <c r="J2478" s="13">
        <v>1</v>
      </c>
      <c r="K2478" s="14" t="str">
        <f>HYPERLINK("http://twitter.com/download/android","Twitter for Android")</f>
        <v>Twitter for Android</v>
      </c>
      <c r="L2478" s="13">
        <v>5128</v>
      </c>
      <c r="M2478" s="13">
        <v>5193</v>
      </c>
      <c r="N2478" s="13">
        <v>33</v>
      </c>
      <c r="O2478" s="15"/>
      <c r="P2478" s="6">
        <v>40259.792893518519</v>
      </c>
      <c r="Q2478" s="16" t="s">
        <v>60</v>
      </c>
      <c r="R2478" s="17" t="s">
        <v>5264</v>
      </c>
      <c r="S2478" s="12"/>
      <c r="T2478" s="12"/>
      <c r="U2478" s="10" t="str">
        <f>HYPERLINK("https://pbs.twimg.com/profile_images/978195787904634880/xKXdKqVW.jpg","View")</f>
        <v>View</v>
      </c>
    </row>
    <row r="2479" spans="1:21" ht="13.2">
      <c r="A2479" s="24"/>
      <c r="B2479" s="25"/>
      <c r="C2479" s="25"/>
      <c r="D2479" s="26"/>
      <c r="E2479" s="15"/>
      <c r="F2479" s="12"/>
      <c r="G2479" s="12"/>
      <c r="H2479" s="12"/>
      <c r="I2479" s="15"/>
      <c r="J2479" s="15"/>
      <c r="K2479" s="12"/>
      <c r="L2479" s="15"/>
      <c r="M2479" s="15"/>
      <c r="N2479" s="15"/>
      <c r="O2479" s="15"/>
      <c r="P2479" s="24"/>
      <c r="Q2479" s="12"/>
      <c r="R2479" s="19"/>
      <c r="S2479" s="12"/>
      <c r="T2479" s="12"/>
      <c r="U2479" s="15"/>
    </row>
    <row r="2480" spans="1:21" ht="13.2">
      <c r="A2480" s="27"/>
      <c r="B2480" s="25"/>
      <c r="C2480" s="25"/>
      <c r="D2480" s="26"/>
      <c r="E2480" s="15"/>
      <c r="F2480" s="15"/>
      <c r="G2480" s="15"/>
      <c r="H2480" s="15"/>
      <c r="I2480" s="15"/>
      <c r="J2480" s="15"/>
      <c r="K2480" s="15"/>
      <c r="L2480" s="15"/>
      <c r="M2480" s="15"/>
      <c r="N2480" s="15"/>
      <c r="O2480" s="15"/>
      <c r="P2480" s="15"/>
      <c r="Q2480" s="12"/>
      <c r="R2480" s="19"/>
      <c r="S2480" s="15"/>
      <c r="T2480" s="15"/>
      <c r="U2480" s="15"/>
    </row>
    <row r="2481" spans="1:21" ht="13.2">
      <c r="A2481" s="27"/>
      <c r="B2481" s="25"/>
      <c r="C2481" s="25"/>
      <c r="D2481" s="26"/>
      <c r="E2481" s="15"/>
      <c r="F2481" s="15"/>
      <c r="G2481" s="15"/>
      <c r="H2481" s="15"/>
      <c r="I2481" s="15"/>
      <c r="J2481" s="15"/>
      <c r="K2481" s="15"/>
      <c r="L2481" s="15"/>
      <c r="M2481" s="15"/>
      <c r="N2481" s="15"/>
      <c r="O2481" s="15"/>
      <c r="P2481" s="15"/>
      <c r="Q2481" s="12"/>
      <c r="R2481" s="19"/>
      <c r="S2481" s="15"/>
      <c r="T2481" s="15"/>
      <c r="U2481" s="15"/>
    </row>
    <row r="2482" spans="1:21" ht="13.2">
      <c r="A2482" s="27"/>
      <c r="B2482" s="25"/>
      <c r="C2482" s="25"/>
      <c r="D2482" s="26"/>
      <c r="E2482" s="15"/>
      <c r="F2482" s="15"/>
      <c r="G2482" s="15"/>
      <c r="H2482" s="15"/>
      <c r="I2482" s="15"/>
      <c r="J2482" s="15"/>
      <c r="K2482" s="15"/>
      <c r="L2482" s="15"/>
      <c r="M2482" s="15"/>
      <c r="N2482" s="15"/>
      <c r="O2482" s="15"/>
      <c r="P2482" s="15"/>
      <c r="Q2482" s="12"/>
      <c r="R2482" s="19"/>
      <c r="S2482" s="15"/>
      <c r="T2482" s="15"/>
      <c r="U2482" s="15"/>
    </row>
    <row r="2483" spans="1:21" ht="13.2">
      <c r="A2483" s="27"/>
      <c r="B2483" s="25"/>
      <c r="C2483" s="25"/>
      <c r="D2483" s="26"/>
      <c r="E2483" s="15"/>
      <c r="F2483" s="15"/>
      <c r="G2483" s="15"/>
      <c r="H2483" s="15"/>
      <c r="I2483" s="15"/>
      <c r="J2483" s="15"/>
      <c r="K2483" s="15"/>
      <c r="L2483" s="15"/>
      <c r="M2483" s="15"/>
      <c r="N2483" s="15"/>
      <c r="O2483" s="15"/>
      <c r="P2483" s="15"/>
      <c r="Q2483" s="12"/>
      <c r="R2483" s="19"/>
      <c r="S2483" s="15"/>
      <c r="T2483" s="15"/>
      <c r="U2483" s="15"/>
    </row>
    <row r="2484" spans="1:21" ht="13.2">
      <c r="A2484" s="27"/>
      <c r="B2484" s="25"/>
      <c r="C2484" s="25"/>
      <c r="D2484" s="26"/>
      <c r="E2484" s="15"/>
      <c r="F2484" s="15"/>
      <c r="G2484" s="15"/>
      <c r="H2484" s="15"/>
      <c r="I2484" s="15"/>
      <c r="J2484" s="15"/>
      <c r="K2484" s="15"/>
      <c r="L2484" s="15"/>
      <c r="M2484" s="15"/>
      <c r="N2484" s="15"/>
      <c r="O2484" s="15"/>
      <c r="P2484" s="15"/>
      <c r="Q2484" s="12"/>
      <c r="R2484" s="19"/>
      <c r="S2484" s="15"/>
      <c r="T2484" s="15"/>
      <c r="U2484" s="15"/>
    </row>
    <row r="2485" spans="1:21" ht="13.2">
      <c r="A2485" s="27"/>
      <c r="B2485" s="25"/>
      <c r="C2485" s="25"/>
      <c r="D2485" s="26"/>
      <c r="E2485" s="15"/>
      <c r="F2485" s="15"/>
      <c r="G2485" s="15"/>
      <c r="H2485" s="15"/>
      <c r="I2485" s="15"/>
      <c r="J2485" s="15"/>
      <c r="K2485" s="15"/>
      <c r="L2485" s="15"/>
      <c r="M2485" s="15"/>
      <c r="N2485" s="15"/>
      <c r="O2485" s="15"/>
      <c r="P2485" s="15"/>
      <c r="Q2485" s="12"/>
      <c r="R2485" s="19"/>
      <c r="S2485" s="15"/>
      <c r="T2485" s="15"/>
      <c r="U2485" s="15"/>
    </row>
    <row r="2486" spans="1:21" ht="13.2">
      <c r="A2486" s="18"/>
      <c r="B2486" s="25"/>
      <c r="C2486" s="25"/>
      <c r="D2486" s="26"/>
      <c r="E2486" s="15"/>
      <c r="F2486" s="15"/>
      <c r="G2486" s="15"/>
      <c r="H2486" s="15"/>
      <c r="I2486" s="15"/>
      <c r="J2486" s="15"/>
      <c r="K2486" s="15"/>
      <c r="L2486" s="15"/>
      <c r="M2486" s="15"/>
      <c r="N2486" s="15"/>
      <c r="O2486" s="15"/>
      <c r="P2486" s="15"/>
      <c r="Q2486" s="12"/>
      <c r="R2486" s="19"/>
      <c r="S2486" s="15"/>
      <c r="T2486" s="15"/>
      <c r="U2486" s="15"/>
    </row>
    <row r="2487" spans="1:21" ht="13.2">
      <c r="A2487" s="27"/>
      <c r="B2487" s="25"/>
      <c r="C2487" s="25"/>
      <c r="D2487" s="26"/>
      <c r="E2487" s="15"/>
      <c r="F2487" s="15"/>
      <c r="G2487" s="15"/>
      <c r="H2487" s="15"/>
      <c r="I2487" s="15"/>
      <c r="J2487" s="15"/>
      <c r="K2487" s="15"/>
      <c r="L2487" s="15"/>
      <c r="M2487" s="15"/>
      <c r="N2487" s="15"/>
      <c r="O2487" s="15"/>
      <c r="P2487" s="15"/>
      <c r="Q2487" s="12"/>
      <c r="R2487" s="19"/>
      <c r="S2487" s="15"/>
      <c r="T2487" s="15"/>
      <c r="U2487" s="15"/>
    </row>
    <row r="2488" spans="1:21" ht="13.2">
      <c r="A2488" s="27"/>
      <c r="B2488" s="25"/>
      <c r="C2488" s="25"/>
      <c r="D2488" s="26"/>
      <c r="E2488" s="15"/>
      <c r="F2488" s="15"/>
      <c r="G2488" s="15"/>
      <c r="H2488" s="15"/>
      <c r="I2488" s="15"/>
      <c r="J2488" s="15"/>
      <c r="K2488" s="15"/>
      <c r="L2488" s="15"/>
      <c r="M2488" s="15"/>
      <c r="N2488" s="15"/>
      <c r="O2488" s="15"/>
      <c r="P2488" s="15"/>
      <c r="Q2488" s="12"/>
      <c r="R2488" s="19"/>
      <c r="S2488" s="15"/>
      <c r="T2488" s="15"/>
      <c r="U2488" s="15"/>
    </row>
    <row r="2489" spans="1:21" ht="13.2">
      <c r="A2489" s="27"/>
      <c r="B2489" s="25"/>
      <c r="C2489" s="25"/>
      <c r="D2489" s="26"/>
      <c r="E2489" s="15"/>
      <c r="F2489" s="15"/>
      <c r="G2489" s="15"/>
      <c r="H2489" s="15"/>
      <c r="I2489" s="15"/>
      <c r="J2489" s="15"/>
      <c r="K2489" s="15"/>
      <c r="L2489" s="15"/>
      <c r="M2489" s="15"/>
      <c r="N2489" s="15"/>
      <c r="O2489" s="15"/>
      <c r="P2489" s="15"/>
      <c r="Q2489" s="12"/>
      <c r="R2489" s="19"/>
      <c r="S2489" s="15"/>
      <c r="T2489" s="15"/>
      <c r="U2489" s="15"/>
    </row>
    <row r="2490" spans="1:21" ht="13.2">
      <c r="A2490" s="27"/>
      <c r="B2490" s="25"/>
      <c r="C2490" s="25"/>
      <c r="D2490" s="26"/>
      <c r="E2490" s="15"/>
      <c r="F2490" s="15"/>
      <c r="G2490" s="15"/>
      <c r="H2490" s="15"/>
      <c r="I2490" s="15"/>
      <c r="J2490" s="15"/>
      <c r="K2490" s="15"/>
      <c r="L2490" s="15"/>
      <c r="M2490" s="15"/>
      <c r="N2490" s="15"/>
      <c r="O2490" s="15"/>
      <c r="P2490" s="15"/>
      <c r="Q2490" s="12"/>
      <c r="R2490" s="19"/>
      <c r="S2490" s="15"/>
      <c r="T2490" s="15"/>
      <c r="U2490" s="15"/>
    </row>
    <row r="2491" spans="1:21" ht="13.2">
      <c r="A2491" s="27"/>
      <c r="B2491" s="25"/>
      <c r="C2491" s="25"/>
      <c r="D2491" s="26"/>
      <c r="E2491" s="15"/>
      <c r="F2491" s="15"/>
      <c r="G2491" s="15"/>
      <c r="H2491" s="15"/>
      <c r="I2491" s="15"/>
      <c r="J2491" s="15"/>
      <c r="K2491" s="15"/>
      <c r="L2491" s="15"/>
      <c r="M2491" s="15"/>
      <c r="N2491" s="15"/>
      <c r="O2491" s="15"/>
      <c r="P2491" s="15"/>
      <c r="Q2491" s="12"/>
      <c r="R2491" s="19"/>
      <c r="S2491" s="15"/>
      <c r="T2491" s="15"/>
      <c r="U2491" s="15"/>
    </row>
    <row r="2492" spans="1:21" ht="13.2">
      <c r="A2492" s="27"/>
      <c r="B2492" s="25"/>
      <c r="C2492" s="25"/>
      <c r="D2492" s="26"/>
      <c r="E2492" s="15"/>
      <c r="F2492" s="15"/>
      <c r="G2492" s="15"/>
      <c r="H2492" s="15"/>
      <c r="I2492" s="15"/>
      <c r="J2492" s="15"/>
      <c r="K2492" s="15"/>
      <c r="L2492" s="15"/>
      <c r="M2492" s="15"/>
      <c r="N2492" s="15"/>
      <c r="O2492" s="15"/>
      <c r="P2492" s="15"/>
      <c r="Q2492" s="12"/>
      <c r="R2492" s="19"/>
      <c r="S2492" s="15"/>
      <c r="T2492" s="15"/>
      <c r="U2492" s="15"/>
    </row>
    <row r="2493" spans="1:21" ht="13.2">
      <c r="A2493" s="27"/>
      <c r="B2493" s="25"/>
      <c r="C2493" s="25"/>
      <c r="D2493" s="26"/>
      <c r="E2493" s="15"/>
      <c r="F2493" s="15"/>
      <c r="G2493" s="15"/>
      <c r="H2493" s="15"/>
      <c r="I2493" s="15"/>
      <c r="J2493" s="15"/>
      <c r="K2493" s="15"/>
      <c r="L2493" s="15"/>
      <c r="M2493" s="15"/>
      <c r="N2493" s="15"/>
      <c r="O2493" s="15"/>
      <c r="P2493" s="15"/>
      <c r="Q2493" s="12"/>
      <c r="R2493" s="19"/>
      <c r="S2493" s="15"/>
      <c r="T2493" s="15"/>
      <c r="U2493" s="15"/>
    </row>
    <row r="2494" spans="1:21" ht="13.2">
      <c r="A2494" s="27"/>
      <c r="B2494" s="25"/>
      <c r="C2494" s="25"/>
      <c r="D2494" s="26"/>
      <c r="E2494" s="15"/>
      <c r="F2494" s="15"/>
      <c r="G2494" s="15"/>
      <c r="H2494" s="15"/>
      <c r="I2494" s="15"/>
      <c r="J2494" s="15"/>
      <c r="K2494" s="15"/>
      <c r="L2494" s="15"/>
      <c r="M2494" s="15"/>
      <c r="N2494" s="15"/>
      <c r="O2494" s="15"/>
      <c r="P2494" s="15"/>
      <c r="Q2494" s="12"/>
      <c r="R2494" s="19"/>
      <c r="S2494" s="15"/>
      <c r="T2494" s="15"/>
      <c r="U2494" s="15"/>
    </row>
    <row r="2495" spans="1:21" ht="13.2">
      <c r="A2495" s="27"/>
      <c r="B2495" s="25"/>
      <c r="C2495" s="25"/>
      <c r="D2495" s="26"/>
      <c r="E2495" s="15"/>
      <c r="F2495" s="15"/>
      <c r="G2495" s="15"/>
      <c r="H2495" s="15"/>
      <c r="I2495" s="15"/>
      <c r="J2495" s="15"/>
      <c r="K2495" s="15"/>
      <c r="L2495" s="15"/>
      <c r="M2495" s="15"/>
      <c r="N2495" s="15"/>
      <c r="O2495" s="15"/>
      <c r="P2495" s="15"/>
      <c r="Q2495" s="12"/>
      <c r="R2495" s="19"/>
      <c r="S2495" s="15"/>
      <c r="T2495" s="15"/>
      <c r="U2495" s="15"/>
    </row>
    <row r="2496" spans="1:21" ht="13.2">
      <c r="A2496" s="27"/>
      <c r="B2496" s="25"/>
      <c r="C2496" s="25"/>
      <c r="D2496" s="26"/>
      <c r="E2496" s="15"/>
      <c r="F2496" s="15"/>
      <c r="G2496" s="15"/>
      <c r="H2496" s="15"/>
      <c r="I2496" s="15"/>
      <c r="J2496" s="15"/>
      <c r="K2496" s="15"/>
      <c r="L2496" s="15"/>
      <c r="M2496" s="15"/>
      <c r="N2496" s="15"/>
      <c r="O2496" s="15"/>
      <c r="P2496" s="15"/>
      <c r="Q2496" s="12"/>
      <c r="R2496" s="19"/>
      <c r="S2496" s="15"/>
      <c r="T2496" s="15"/>
      <c r="U2496" s="15"/>
    </row>
    <row r="2497" spans="1:21" ht="13.2">
      <c r="A2497" s="27"/>
      <c r="B2497" s="25"/>
      <c r="C2497" s="25"/>
      <c r="D2497" s="26"/>
      <c r="E2497" s="15"/>
      <c r="F2497" s="15"/>
      <c r="G2497" s="15"/>
      <c r="H2497" s="15"/>
      <c r="I2497" s="15"/>
      <c r="J2497" s="15"/>
      <c r="K2497" s="15"/>
      <c r="L2497" s="15"/>
      <c r="M2497" s="15"/>
      <c r="N2497" s="15"/>
      <c r="O2497" s="15"/>
      <c r="P2497" s="15"/>
      <c r="Q2497" s="12"/>
      <c r="R2497" s="19"/>
      <c r="S2497" s="15"/>
      <c r="T2497" s="15"/>
      <c r="U2497" s="15"/>
    </row>
    <row r="2498" spans="1:21" ht="13.2">
      <c r="A2498" s="27"/>
      <c r="B2498" s="25"/>
      <c r="C2498" s="25"/>
      <c r="D2498" s="26"/>
      <c r="E2498" s="15"/>
      <c r="F2498" s="15"/>
      <c r="G2498" s="15"/>
      <c r="H2498" s="15"/>
      <c r="I2498" s="15"/>
      <c r="J2498" s="15"/>
      <c r="K2498" s="15"/>
      <c r="L2498" s="15"/>
      <c r="M2498" s="15"/>
      <c r="N2498" s="15"/>
      <c r="O2498" s="15"/>
      <c r="P2498" s="15"/>
      <c r="Q2498" s="12"/>
      <c r="R2498" s="19"/>
      <c r="S2498" s="15"/>
      <c r="T2498" s="15"/>
      <c r="U2498" s="15"/>
    </row>
    <row r="2499" spans="1:21" ht="13.2">
      <c r="A2499" s="27"/>
      <c r="B2499" s="25"/>
      <c r="C2499" s="25"/>
      <c r="D2499" s="26"/>
      <c r="E2499" s="15"/>
      <c r="F2499" s="15"/>
      <c r="G2499" s="15"/>
      <c r="H2499" s="15"/>
      <c r="I2499" s="15"/>
      <c r="J2499" s="15"/>
      <c r="K2499" s="15"/>
      <c r="L2499" s="15"/>
      <c r="M2499" s="15"/>
      <c r="N2499" s="15"/>
      <c r="O2499" s="15"/>
      <c r="P2499" s="15"/>
      <c r="Q2499" s="12"/>
      <c r="R2499" s="19"/>
      <c r="S2499" s="15"/>
      <c r="T2499" s="15"/>
      <c r="U2499" s="15"/>
    </row>
    <row r="2500" spans="1:21" ht="13.2">
      <c r="A2500" s="27"/>
      <c r="B2500" s="25"/>
      <c r="C2500" s="25"/>
      <c r="D2500" s="26"/>
      <c r="E2500" s="15"/>
      <c r="F2500" s="15"/>
      <c r="G2500" s="15"/>
      <c r="H2500" s="15"/>
      <c r="I2500" s="15"/>
      <c r="J2500" s="15"/>
      <c r="K2500" s="15"/>
      <c r="L2500" s="15"/>
      <c r="M2500" s="15"/>
      <c r="N2500" s="15"/>
      <c r="O2500" s="15"/>
      <c r="P2500" s="15"/>
      <c r="Q2500" s="12"/>
      <c r="R2500" s="19"/>
      <c r="S2500" s="15"/>
      <c r="T2500" s="15"/>
      <c r="U2500" s="15"/>
    </row>
    <row r="2501" spans="1:21" ht="13.2">
      <c r="A2501" s="27"/>
      <c r="B2501" s="25"/>
      <c r="C2501" s="25"/>
      <c r="D2501" s="26"/>
      <c r="E2501" s="15"/>
      <c r="F2501" s="15"/>
      <c r="G2501" s="15"/>
      <c r="H2501" s="15"/>
      <c r="I2501" s="15"/>
      <c r="J2501" s="15"/>
      <c r="K2501" s="15"/>
      <c r="L2501" s="15"/>
      <c r="M2501" s="15"/>
      <c r="N2501" s="15"/>
      <c r="O2501" s="15"/>
      <c r="P2501" s="15"/>
      <c r="Q2501" s="12"/>
      <c r="R2501" s="19"/>
      <c r="S2501" s="15"/>
      <c r="T2501" s="15"/>
      <c r="U2501" s="15"/>
    </row>
  </sheetData>
  <mergeCells count="2">
    <mergeCell ref="A1:K1"/>
    <mergeCell ref="L1:U1"/>
  </mergeCells>
  <hyperlinks>
    <hyperlink ref="F3" r:id="rId1" xr:uid="{00000000-0004-0000-0200-000000000000}"/>
    <hyperlink ref="F4" r:id="rId2" location=".XAv2zXODQdo.twitter" xr:uid="{00000000-0004-0000-0200-000001000000}"/>
    <hyperlink ref="S4" r:id="rId3" xr:uid="{00000000-0004-0000-0200-000002000000}"/>
    <hyperlink ref="F5" r:id="rId4" xr:uid="{00000000-0004-0000-0200-000003000000}"/>
    <hyperlink ref="F7" r:id="rId5" xr:uid="{00000000-0004-0000-0200-000004000000}"/>
    <hyperlink ref="G7" r:id="rId6" xr:uid="{00000000-0004-0000-0200-000005000000}"/>
    <hyperlink ref="S7" r:id="rId7" xr:uid="{00000000-0004-0000-0200-000006000000}"/>
    <hyperlink ref="F9" r:id="rId8" xr:uid="{00000000-0004-0000-0200-000007000000}"/>
    <hyperlink ref="G9" r:id="rId9" xr:uid="{00000000-0004-0000-0200-000008000000}"/>
    <hyperlink ref="F10" r:id="rId10" xr:uid="{00000000-0004-0000-0200-000009000000}"/>
    <hyperlink ref="F11" r:id="rId11" xr:uid="{00000000-0004-0000-0200-00000A000000}"/>
    <hyperlink ref="F13" r:id="rId12" location=".XAv0qEd-uBo.twitter" xr:uid="{00000000-0004-0000-0200-00000B000000}"/>
    <hyperlink ref="F15" r:id="rId13" xr:uid="{00000000-0004-0000-0200-00000C000000}"/>
    <hyperlink ref="S15" r:id="rId14" xr:uid="{00000000-0004-0000-0200-00000D000000}"/>
    <hyperlink ref="G16" r:id="rId15" xr:uid="{00000000-0004-0000-0200-00000E000000}"/>
    <hyperlink ref="F17" r:id="rId16" xr:uid="{00000000-0004-0000-0200-00000F000000}"/>
    <hyperlink ref="S17" r:id="rId17" xr:uid="{00000000-0004-0000-0200-000010000000}"/>
    <hyperlink ref="F19" r:id="rId18" xr:uid="{00000000-0004-0000-0200-000011000000}"/>
    <hyperlink ref="G19" r:id="rId19" xr:uid="{00000000-0004-0000-0200-000012000000}"/>
    <hyperlink ref="S19" r:id="rId20" xr:uid="{00000000-0004-0000-0200-000013000000}"/>
    <hyperlink ref="F20" r:id="rId21" xr:uid="{00000000-0004-0000-0200-000014000000}"/>
    <hyperlink ref="S20" r:id="rId22" xr:uid="{00000000-0004-0000-0200-000015000000}"/>
    <hyperlink ref="F22" r:id="rId23" xr:uid="{00000000-0004-0000-0200-000016000000}"/>
    <hyperlink ref="S22" r:id="rId24" xr:uid="{00000000-0004-0000-0200-000017000000}"/>
    <hyperlink ref="F23" r:id="rId25" xr:uid="{00000000-0004-0000-0200-000018000000}"/>
    <hyperlink ref="S23" r:id="rId26" xr:uid="{00000000-0004-0000-0200-000019000000}"/>
    <hyperlink ref="G24" r:id="rId27" xr:uid="{00000000-0004-0000-0200-00001A000000}"/>
    <hyperlink ref="F25" r:id="rId28" xr:uid="{00000000-0004-0000-0200-00001B000000}"/>
    <hyperlink ref="S25" r:id="rId29" xr:uid="{00000000-0004-0000-0200-00001C000000}"/>
    <hyperlink ref="F26" r:id="rId30" xr:uid="{00000000-0004-0000-0200-00001D000000}"/>
    <hyperlink ref="S26" r:id="rId31" xr:uid="{00000000-0004-0000-0200-00001E000000}"/>
    <hyperlink ref="F27" r:id="rId32" xr:uid="{00000000-0004-0000-0200-00001F000000}"/>
    <hyperlink ref="S27" r:id="rId33" xr:uid="{00000000-0004-0000-0200-000020000000}"/>
    <hyperlink ref="F29" r:id="rId34" xr:uid="{00000000-0004-0000-0200-000021000000}"/>
    <hyperlink ref="S29" r:id="rId35" xr:uid="{00000000-0004-0000-0200-000022000000}"/>
    <hyperlink ref="F30" r:id="rId36" location="ns_campaign=amp-rrss-inducido&amp;ns_mchannel=abc-es&amp;ns_source=tw&amp;ns_linkname=noticia.foto&amp;ns_fee=0" xr:uid="{00000000-0004-0000-0200-000023000000}"/>
    <hyperlink ref="F31" r:id="rId37" xr:uid="{00000000-0004-0000-0200-000024000000}"/>
    <hyperlink ref="F33" r:id="rId38" xr:uid="{00000000-0004-0000-0200-000025000000}"/>
    <hyperlink ref="G33" r:id="rId39" xr:uid="{00000000-0004-0000-0200-000026000000}"/>
    <hyperlink ref="S33" r:id="rId40" xr:uid="{00000000-0004-0000-0200-000027000000}"/>
    <hyperlink ref="S34" r:id="rId41" xr:uid="{00000000-0004-0000-0200-000028000000}"/>
    <hyperlink ref="F35" r:id="rId42" xr:uid="{00000000-0004-0000-0200-000029000000}"/>
    <hyperlink ref="S35" r:id="rId43" xr:uid="{00000000-0004-0000-0200-00002A000000}"/>
    <hyperlink ref="F38" r:id="rId44" location="ns_campaign=rrss-inducido&amp;ns_mchannel=abc-es&amp;ns_source=tw&amp;ns_linkname=noticia-foto&amp;ns_fee=0" xr:uid="{00000000-0004-0000-0200-00002B000000}"/>
    <hyperlink ref="F39" r:id="rId45" xr:uid="{00000000-0004-0000-0200-00002C000000}"/>
    <hyperlink ref="S39" r:id="rId46" xr:uid="{00000000-0004-0000-0200-00002D000000}"/>
    <hyperlink ref="F40" r:id="rId47" xr:uid="{00000000-0004-0000-0200-00002E000000}"/>
    <hyperlink ref="S40" r:id="rId48" xr:uid="{00000000-0004-0000-0200-00002F000000}"/>
    <hyperlink ref="S41" r:id="rId49" xr:uid="{00000000-0004-0000-0200-000030000000}"/>
    <hyperlink ref="F42" r:id="rId50" xr:uid="{00000000-0004-0000-0200-000031000000}"/>
    <hyperlink ref="G43" r:id="rId51" xr:uid="{00000000-0004-0000-0200-000032000000}"/>
    <hyperlink ref="F44" r:id="rId52" xr:uid="{00000000-0004-0000-0200-000033000000}"/>
    <hyperlink ref="F45" r:id="rId53" xr:uid="{00000000-0004-0000-0200-000034000000}"/>
    <hyperlink ref="G45" r:id="rId54" xr:uid="{00000000-0004-0000-0200-000035000000}"/>
    <hyperlink ref="F48" r:id="rId55" xr:uid="{00000000-0004-0000-0200-000036000000}"/>
    <hyperlink ref="S48" r:id="rId56" xr:uid="{00000000-0004-0000-0200-000037000000}"/>
    <hyperlink ref="F49" r:id="rId57" xr:uid="{00000000-0004-0000-0200-000038000000}"/>
    <hyperlink ref="F50" r:id="rId58" xr:uid="{00000000-0004-0000-0200-000039000000}"/>
    <hyperlink ref="S50" r:id="rId59" xr:uid="{00000000-0004-0000-0200-00003A000000}"/>
    <hyperlink ref="F51" r:id="rId60" xr:uid="{00000000-0004-0000-0200-00003B000000}"/>
    <hyperlink ref="F52" r:id="rId61" xr:uid="{00000000-0004-0000-0200-00003C000000}"/>
    <hyperlink ref="G54" r:id="rId62" xr:uid="{00000000-0004-0000-0200-00003D000000}"/>
    <hyperlink ref="S55" r:id="rId63" xr:uid="{00000000-0004-0000-0200-00003E000000}"/>
    <hyperlink ref="F56" r:id="rId64" xr:uid="{00000000-0004-0000-0200-00003F000000}"/>
    <hyperlink ref="G57" r:id="rId65" xr:uid="{00000000-0004-0000-0200-000040000000}"/>
    <hyperlink ref="F58" r:id="rId66" xr:uid="{00000000-0004-0000-0200-000041000000}"/>
    <hyperlink ref="F59" r:id="rId67" xr:uid="{00000000-0004-0000-0200-000042000000}"/>
    <hyperlink ref="G59" r:id="rId68" xr:uid="{00000000-0004-0000-0200-000043000000}"/>
    <hyperlink ref="F60" r:id="rId69" xr:uid="{00000000-0004-0000-0200-000044000000}"/>
    <hyperlink ref="S60" r:id="rId70" xr:uid="{00000000-0004-0000-0200-000045000000}"/>
    <hyperlink ref="C61" r:id="rId71" xr:uid="{00000000-0004-0000-0200-000046000000}"/>
    <hyperlink ref="F61" r:id="rId72" xr:uid="{00000000-0004-0000-0200-000047000000}"/>
    <hyperlink ref="S61" r:id="rId73" xr:uid="{00000000-0004-0000-0200-000048000000}"/>
    <hyperlink ref="G62" r:id="rId74" xr:uid="{00000000-0004-0000-0200-000049000000}"/>
    <hyperlink ref="S62" r:id="rId75" xr:uid="{00000000-0004-0000-0200-00004A000000}"/>
    <hyperlink ref="F63" r:id="rId76" xr:uid="{00000000-0004-0000-0200-00004B000000}"/>
    <hyperlink ref="G63" r:id="rId77" xr:uid="{00000000-0004-0000-0200-00004C000000}"/>
    <hyperlink ref="F64" r:id="rId78" xr:uid="{00000000-0004-0000-0200-00004D000000}"/>
    <hyperlink ref="F65" r:id="rId79" xr:uid="{00000000-0004-0000-0200-00004E000000}"/>
    <hyperlink ref="G65" r:id="rId80" xr:uid="{00000000-0004-0000-0200-00004F000000}"/>
    <hyperlink ref="F67" r:id="rId81" xr:uid="{00000000-0004-0000-0200-000050000000}"/>
    <hyperlink ref="F68" r:id="rId82" location="ns_campaign=rrss-inducido&amp;ns_mchannel=abc-es&amp;ns_source=fb&amp;ns_linkname=noticia-foto&amp;ns_fee=0" xr:uid="{00000000-0004-0000-0200-000051000000}"/>
    <hyperlink ref="F69" r:id="rId83" xr:uid="{00000000-0004-0000-0200-000052000000}"/>
    <hyperlink ref="G69" r:id="rId84" xr:uid="{00000000-0004-0000-0200-000053000000}"/>
    <hyperlink ref="G71" r:id="rId85" xr:uid="{00000000-0004-0000-0200-000054000000}"/>
    <hyperlink ref="F73" r:id="rId86" xr:uid="{00000000-0004-0000-0200-000055000000}"/>
    <hyperlink ref="S73" r:id="rId87" xr:uid="{00000000-0004-0000-0200-000056000000}"/>
    <hyperlink ref="F74" r:id="rId88" xr:uid="{00000000-0004-0000-0200-000057000000}"/>
    <hyperlink ref="F75" r:id="rId89" xr:uid="{00000000-0004-0000-0200-000058000000}"/>
    <hyperlink ref="G76" r:id="rId90" xr:uid="{00000000-0004-0000-0200-000059000000}"/>
    <hyperlink ref="F77" r:id="rId91" xr:uid="{00000000-0004-0000-0200-00005A000000}"/>
    <hyperlink ref="F78" r:id="rId92" xr:uid="{00000000-0004-0000-0200-00005B000000}"/>
    <hyperlink ref="G78" r:id="rId93" xr:uid="{00000000-0004-0000-0200-00005C000000}"/>
    <hyperlink ref="G79" r:id="rId94" xr:uid="{00000000-0004-0000-0200-00005D000000}"/>
    <hyperlink ref="S79" r:id="rId95" xr:uid="{00000000-0004-0000-0200-00005E000000}"/>
    <hyperlink ref="F80" r:id="rId96" xr:uid="{00000000-0004-0000-0200-00005F000000}"/>
    <hyperlink ref="F83" r:id="rId97" xr:uid="{00000000-0004-0000-0200-000060000000}"/>
    <hyperlink ref="S83" r:id="rId98" xr:uid="{00000000-0004-0000-0200-000061000000}"/>
    <hyperlink ref="F84" r:id="rId99" xr:uid="{00000000-0004-0000-0200-000062000000}"/>
    <hyperlink ref="F86" r:id="rId100" xr:uid="{00000000-0004-0000-0200-000063000000}"/>
    <hyperlink ref="G86" r:id="rId101" xr:uid="{00000000-0004-0000-0200-000064000000}"/>
    <hyperlink ref="F90" r:id="rId102" xr:uid="{00000000-0004-0000-0200-000065000000}"/>
    <hyperlink ref="S90" r:id="rId103" xr:uid="{00000000-0004-0000-0200-000066000000}"/>
    <hyperlink ref="F91" r:id="rId104" xr:uid="{00000000-0004-0000-0200-000067000000}"/>
    <hyperlink ref="S91" r:id="rId105" xr:uid="{00000000-0004-0000-0200-000068000000}"/>
    <hyperlink ref="F92" r:id="rId106" xr:uid="{00000000-0004-0000-0200-000069000000}"/>
    <hyperlink ref="G92" r:id="rId107" xr:uid="{00000000-0004-0000-0200-00006A000000}"/>
    <hyperlink ref="S92" r:id="rId108" xr:uid="{00000000-0004-0000-0200-00006B000000}"/>
    <hyperlink ref="G93" r:id="rId109" xr:uid="{00000000-0004-0000-0200-00006C000000}"/>
    <hyperlink ref="F95" r:id="rId110" xr:uid="{00000000-0004-0000-0200-00006D000000}"/>
    <hyperlink ref="F96" r:id="rId111" xr:uid="{00000000-0004-0000-0200-00006E000000}"/>
    <hyperlink ref="F97" r:id="rId112" xr:uid="{00000000-0004-0000-0200-00006F000000}"/>
    <hyperlink ref="F98" r:id="rId113" xr:uid="{00000000-0004-0000-0200-000070000000}"/>
    <hyperlink ref="G98" r:id="rId114" xr:uid="{00000000-0004-0000-0200-000071000000}"/>
    <hyperlink ref="F100" r:id="rId115" xr:uid="{00000000-0004-0000-0200-000072000000}"/>
    <hyperlink ref="S100" r:id="rId116" xr:uid="{00000000-0004-0000-0200-000073000000}"/>
    <hyperlink ref="F101" r:id="rId117" xr:uid="{00000000-0004-0000-0200-000074000000}"/>
    <hyperlink ref="S101" r:id="rId118" xr:uid="{00000000-0004-0000-0200-000075000000}"/>
    <hyperlink ref="F102" r:id="rId119" xr:uid="{00000000-0004-0000-0200-000076000000}"/>
    <hyperlink ref="F103" r:id="rId120" xr:uid="{00000000-0004-0000-0200-000077000000}"/>
    <hyperlink ref="F104" r:id="rId121" xr:uid="{00000000-0004-0000-0200-000078000000}"/>
    <hyperlink ref="F105" r:id="rId122" xr:uid="{00000000-0004-0000-0200-000079000000}"/>
    <hyperlink ref="S105" r:id="rId123" xr:uid="{00000000-0004-0000-0200-00007A000000}"/>
    <hyperlink ref="F107" r:id="rId124" xr:uid="{00000000-0004-0000-0200-00007B000000}"/>
    <hyperlink ref="S107" r:id="rId125" xr:uid="{00000000-0004-0000-0200-00007C000000}"/>
    <hyperlink ref="F108" r:id="rId126" xr:uid="{00000000-0004-0000-0200-00007D000000}"/>
    <hyperlink ref="F109" r:id="rId127" xr:uid="{00000000-0004-0000-0200-00007E000000}"/>
    <hyperlink ref="S109" r:id="rId128" xr:uid="{00000000-0004-0000-0200-00007F000000}"/>
    <hyperlink ref="F110" r:id="rId129" xr:uid="{00000000-0004-0000-0200-000080000000}"/>
    <hyperlink ref="S110" r:id="rId130" xr:uid="{00000000-0004-0000-0200-000081000000}"/>
    <hyperlink ref="F111" r:id="rId131" xr:uid="{00000000-0004-0000-0200-000082000000}"/>
    <hyperlink ref="F112" r:id="rId132" xr:uid="{00000000-0004-0000-0200-000083000000}"/>
    <hyperlink ref="G112" r:id="rId133" xr:uid="{00000000-0004-0000-0200-000084000000}"/>
    <hyperlink ref="S112" r:id="rId134" xr:uid="{00000000-0004-0000-0200-000085000000}"/>
    <hyperlink ref="F114" r:id="rId135" xr:uid="{00000000-0004-0000-0200-000086000000}"/>
    <hyperlink ref="S116" r:id="rId136" xr:uid="{00000000-0004-0000-0200-000087000000}"/>
    <hyperlink ref="F118" r:id="rId137" xr:uid="{00000000-0004-0000-0200-000088000000}"/>
    <hyperlink ref="S118" r:id="rId138" xr:uid="{00000000-0004-0000-0200-000089000000}"/>
    <hyperlink ref="S119" r:id="rId139" xr:uid="{00000000-0004-0000-0200-00008A000000}"/>
    <hyperlink ref="F121" r:id="rId140" xr:uid="{00000000-0004-0000-0200-00008B000000}"/>
    <hyperlink ref="F122" r:id="rId141" xr:uid="{00000000-0004-0000-0200-00008C000000}"/>
    <hyperlink ref="C123" r:id="rId142" xr:uid="{00000000-0004-0000-0200-00008D000000}"/>
    <hyperlink ref="F123" r:id="rId143" xr:uid="{00000000-0004-0000-0200-00008E000000}"/>
    <hyperlink ref="G123" r:id="rId144" xr:uid="{00000000-0004-0000-0200-00008F000000}"/>
    <hyperlink ref="S123" r:id="rId145" xr:uid="{00000000-0004-0000-0200-000090000000}"/>
    <hyperlink ref="F125" r:id="rId146" xr:uid="{00000000-0004-0000-0200-000091000000}"/>
    <hyperlink ref="G125" r:id="rId147" xr:uid="{00000000-0004-0000-0200-000092000000}"/>
    <hyperlink ref="F126" r:id="rId148" xr:uid="{00000000-0004-0000-0200-000093000000}"/>
    <hyperlink ref="F127" r:id="rId149" xr:uid="{00000000-0004-0000-0200-000094000000}"/>
    <hyperlink ref="G127" r:id="rId150" xr:uid="{00000000-0004-0000-0200-000095000000}"/>
    <hyperlink ref="F128" r:id="rId151" xr:uid="{00000000-0004-0000-0200-000096000000}"/>
    <hyperlink ref="F129" r:id="rId152" xr:uid="{00000000-0004-0000-0200-000097000000}"/>
    <hyperlink ref="F130" r:id="rId153" xr:uid="{00000000-0004-0000-0200-000098000000}"/>
    <hyperlink ref="F131" r:id="rId154" xr:uid="{00000000-0004-0000-0200-000099000000}"/>
    <hyperlink ref="S131" r:id="rId155" xr:uid="{00000000-0004-0000-0200-00009A000000}"/>
    <hyperlink ref="F135" r:id="rId156" xr:uid="{00000000-0004-0000-0200-00009B000000}"/>
    <hyperlink ref="F136" r:id="rId157" xr:uid="{00000000-0004-0000-0200-00009C000000}"/>
    <hyperlink ref="F137" r:id="rId158" xr:uid="{00000000-0004-0000-0200-00009D000000}"/>
    <hyperlink ref="S138" r:id="rId159" xr:uid="{00000000-0004-0000-0200-00009E000000}"/>
    <hyperlink ref="F139" r:id="rId160" xr:uid="{00000000-0004-0000-0200-00009F000000}"/>
    <hyperlink ref="S139" r:id="rId161" xr:uid="{00000000-0004-0000-0200-0000A0000000}"/>
    <hyperlink ref="C142" r:id="rId162" xr:uid="{00000000-0004-0000-0200-0000A1000000}"/>
    <hyperlink ref="F142" r:id="rId163" xr:uid="{00000000-0004-0000-0200-0000A2000000}"/>
    <hyperlink ref="S142" r:id="rId164" xr:uid="{00000000-0004-0000-0200-0000A3000000}"/>
    <hyperlink ref="F143" r:id="rId165" xr:uid="{00000000-0004-0000-0200-0000A4000000}"/>
    <hyperlink ref="S143" r:id="rId166" xr:uid="{00000000-0004-0000-0200-0000A5000000}"/>
    <hyperlink ref="F144" r:id="rId167" xr:uid="{00000000-0004-0000-0200-0000A6000000}"/>
    <hyperlink ref="G144" r:id="rId168" xr:uid="{00000000-0004-0000-0200-0000A7000000}"/>
    <hyperlink ref="F146" r:id="rId169" xr:uid="{00000000-0004-0000-0200-0000A8000000}"/>
    <hyperlink ref="G146" r:id="rId170" xr:uid="{00000000-0004-0000-0200-0000A9000000}"/>
    <hyperlink ref="S146" r:id="rId171" xr:uid="{00000000-0004-0000-0200-0000AA000000}"/>
    <hyperlink ref="F148" r:id="rId172" xr:uid="{00000000-0004-0000-0200-0000AB000000}"/>
    <hyperlink ref="S148" r:id="rId173" xr:uid="{00000000-0004-0000-0200-0000AC000000}"/>
    <hyperlink ref="F149" r:id="rId174" xr:uid="{00000000-0004-0000-0200-0000AD000000}"/>
    <hyperlink ref="G149" r:id="rId175" xr:uid="{00000000-0004-0000-0200-0000AE000000}"/>
    <hyperlink ref="S149" r:id="rId176" xr:uid="{00000000-0004-0000-0200-0000AF000000}"/>
    <hyperlink ref="F150" r:id="rId177" xr:uid="{00000000-0004-0000-0200-0000B0000000}"/>
    <hyperlink ref="S150" r:id="rId178" xr:uid="{00000000-0004-0000-0200-0000B1000000}"/>
    <hyperlink ref="F151" r:id="rId179" xr:uid="{00000000-0004-0000-0200-0000B2000000}"/>
    <hyperlink ref="F152" r:id="rId180" xr:uid="{00000000-0004-0000-0200-0000B3000000}"/>
    <hyperlink ref="G152" r:id="rId181" xr:uid="{00000000-0004-0000-0200-0000B4000000}"/>
    <hyperlink ref="S152" r:id="rId182" xr:uid="{00000000-0004-0000-0200-0000B5000000}"/>
    <hyperlink ref="F153" r:id="rId183" xr:uid="{00000000-0004-0000-0200-0000B6000000}"/>
    <hyperlink ref="G153" r:id="rId184" xr:uid="{00000000-0004-0000-0200-0000B7000000}"/>
    <hyperlink ref="G156" r:id="rId185" xr:uid="{00000000-0004-0000-0200-0000B8000000}"/>
    <hyperlink ref="S156" r:id="rId186" xr:uid="{00000000-0004-0000-0200-0000B9000000}"/>
    <hyperlink ref="F157" r:id="rId187" xr:uid="{00000000-0004-0000-0200-0000BA000000}"/>
    <hyperlink ref="G157" r:id="rId188" xr:uid="{00000000-0004-0000-0200-0000BB000000}"/>
    <hyperlink ref="F159" r:id="rId189" xr:uid="{00000000-0004-0000-0200-0000BC000000}"/>
    <hyperlink ref="F160" r:id="rId190" xr:uid="{00000000-0004-0000-0200-0000BD000000}"/>
    <hyperlink ref="G160" r:id="rId191" xr:uid="{00000000-0004-0000-0200-0000BE000000}"/>
    <hyperlink ref="S160" r:id="rId192" xr:uid="{00000000-0004-0000-0200-0000BF000000}"/>
    <hyperlink ref="F163" r:id="rId193" xr:uid="{00000000-0004-0000-0200-0000C0000000}"/>
    <hyperlink ref="S163" r:id="rId194" xr:uid="{00000000-0004-0000-0200-0000C1000000}"/>
    <hyperlink ref="F164" r:id="rId195" location=".XAvSC2dp7kQ.twitter" xr:uid="{00000000-0004-0000-0200-0000C2000000}"/>
    <hyperlink ref="S165" r:id="rId196" xr:uid="{00000000-0004-0000-0200-0000C3000000}"/>
    <hyperlink ref="F167" r:id="rId197" xr:uid="{00000000-0004-0000-0200-0000C4000000}"/>
    <hyperlink ref="S168" r:id="rId198" xr:uid="{00000000-0004-0000-0200-0000C5000000}"/>
    <hyperlink ref="S171" r:id="rId199" xr:uid="{00000000-0004-0000-0200-0000C6000000}"/>
    <hyperlink ref="S173" r:id="rId200" xr:uid="{00000000-0004-0000-0200-0000C7000000}"/>
    <hyperlink ref="F175" r:id="rId201" location=".XAvQExJ7hqg.twitter" xr:uid="{00000000-0004-0000-0200-0000C8000000}"/>
    <hyperlink ref="S175" r:id="rId202" xr:uid="{00000000-0004-0000-0200-0000C9000000}"/>
    <hyperlink ref="C176" r:id="rId203" xr:uid="{00000000-0004-0000-0200-0000CA000000}"/>
    <hyperlink ref="F176" r:id="rId204" xr:uid="{00000000-0004-0000-0200-0000CB000000}"/>
    <hyperlink ref="G176" r:id="rId205" xr:uid="{00000000-0004-0000-0200-0000CC000000}"/>
    <hyperlink ref="S176" r:id="rId206" xr:uid="{00000000-0004-0000-0200-0000CD000000}"/>
    <hyperlink ref="F177" r:id="rId207" location=".XAvPtBku2zU.twitter" xr:uid="{00000000-0004-0000-0200-0000CE000000}"/>
    <hyperlink ref="F178" r:id="rId208" xr:uid="{00000000-0004-0000-0200-0000CF000000}"/>
    <hyperlink ref="G178" r:id="rId209" xr:uid="{00000000-0004-0000-0200-0000D0000000}"/>
    <hyperlink ref="F179" r:id="rId210" xr:uid="{00000000-0004-0000-0200-0000D1000000}"/>
    <hyperlink ref="G179" r:id="rId211" xr:uid="{00000000-0004-0000-0200-0000D2000000}"/>
    <hyperlink ref="F181" r:id="rId212" xr:uid="{00000000-0004-0000-0200-0000D3000000}"/>
    <hyperlink ref="F182" r:id="rId213" xr:uid="{00000000-0004-0000-0200-0000D4000000}"/>
    <hyperlink ref="S182" r:id="rId214" xr:uid="{00000000-0004-0000-0200-0000D5000000}"/>
    <hyperlink ref="F183" r:id="rId215" xr:uid="{00000000-0004-0000-0200-0000D6000000}"/>
    <hyperlink ref="G183" r:id="rId216" xr:uid="{00000000-0004-0000-0200-0000D7000000}"/>
    <hyperlink ref="F185" r:id="rId217" xr:uid="{00000000-0004-0000-0200-0000D8000000}"/>
    <hyperlink ref="G185" r:id="rId218" xr:uid="{00000000-0004-0000-0200-0000D9000000}"/>
    <hyperlink ref="S185" r:id="rId219" xr:uid="{00000000-0004-0000-0200-0000DA000000}"/>
    <hyperlink ref="F186" r:id="rId220" xr:uid="{00000000-0004-0000-0200-0000DB000000}"/>
    <hyperlink ref="G186" r:id="rId221" xr:uid="{00000000-0004-0000-0200-0000DC000000}"/>
    <hyperlink ref="S186" r:id="rId222" xr:uid="{00000000-0004-0000-0200-0000DD000000}"/>
    <hyperlink ref="F187" r:id="rId223" xr:uid="{00000000-0004-0000-0200-0000DE000000}"/>
    <hyperlink ref="G187" r:id="rId224" xr:uid="{00000000-0004-0000-0200-0000DF000000}"/>
    <hyperlink ref="S187" r:id="rId225" xr:uid="{00000000-0004-0000-0200-0000E0000000}"/>
    <hyperlink ref="F188" r:id="rId226" xr:uid="{00000000-0004-0000-0200-0000E1000000}"/>
    <hyperlink ref="G188" r:id="rId227" xr:uid="{00000000-0004-0000-0200-0000E2000000}"/>
    <hyperlink ref="S188" r:id="rId228" xr:uid="{00000000-0004-0000-0200-0000E3000000}"/>
    <hyperlink ref="F189" r:id="rId229" xr:uid="{00000000-0004-0000-0200-0000E4000000}"/>
    <hyperlink ref="G189" r:id="rId230" xr:uid="{00000000-0004-0000-0200-0000E5000000}"/>
    <hyperlink ref="S189" r:id="rId231" xr:uid="{00000000-0004-0000-0200-0000E6000000}"/>
    <hyperlink ref="F191" r:id="rId232" xr:uid="{00000000-0004-0000-0200-0000E7000000}"/>
    <hyperlink ref="S191" r:id="rId233" xr:uid="{00000000-0004-0000-0200-0000E8000000}"/>
    <hyperlink ref="F192" r:id="rId234" xr:uid="{00000000-0004-0000-0200-0000E9000000}"/>
    <hyperlink ref="F196" r:id="rId235" xr:uid="{00000000-0004-0000-0200-0000EA000000}"/>
    <hyperlink ref="S197" r:id="rId236" xr:uid="{00000000-0004-0000-0200-0000EB000000}"/>
    <hyperlink ref="F199" r:id="rId237" xr:uid="{00000000-0004-0000-0200-0000EC000000}"/>
    <hyperlink ref="C200" r:id="rId238" xr:uid="{00000000-0004-0000-0200-0000ED000000}"/>
    <hyperlink ref="F200" r:id="rId239" xr:uid="{00000000-0004-0000-0200-0000EE000000}"/>
    <hyperlink ref="G200" r:id="rId240" xr:uid="{00000000-0004-0000-0200-0000EF000000}"/>
    <hyperlink ref="S200" r:id="rId241" xr:uid="{00000000-0004-0000-0200-0000F0000000}"/>
    <hyperlink ref="F201" r:id="rId242" xr:uid="{00000000-0004-0000-0200-0000F1000000}"/>
    <hyperlink ref="S201" r:id="rId243" location="!/mercedes.mosquerabango.7?ref=bookmark" xr:uid="{00000000-0004-0000-0200-0000F2000000}"/>
    <hyperlink ref="G202" r:id="rId244" xr:uid="{00000000-0004-0000-0200-0000F3000000}"/>
    <hyperlink ref="F203" r:id="rId245" xr:uid="{00000000-0004-0000-0200-0000F4000000}"/>
    <hyperlink ref="G203" r:id="rId246" xr:uid="{00000000-0004-0000-0200-0000F5000000}"/>
    <hyperlink ref="S203" r:id="rId247" xr:uid="{00000000-0004-0000-0200-0000F6000000}"/>
    <hyperlink ref="F204" r:id="rId248" xr:uid="{00000000-0004-0000-0200-0000F7000000}"/>
    <hyperlink ref="G204" r:id="rId249" xr:uid="{00000000-0004-0000-0200-0000F8000000}"/>
    <hyperlink ref="G205" r:id="rId250" xr:uid="{00000000-0004-0000-0200-0000F9000000}"/>
    <hyperlink ref="F206" r:id="rId251" xr:uid="{00000000-0004-0000-0200-0000FA000000}"/>
    <hyperlink ref="S206" r:id="rId252" xr:uid="{00000000-0004-0000-0200-0000FB000000}"/>
    <hyperlink ref="F207" r:id="rId253" xr:uid="{00000000-0004-0000-0200-0000FC000000}"/>
    <hyperlink ref="G208" r:id="rId254" xr:uid="{00000000-0004-0000-0200-0000FD000000}"/>
    <hyperlink ref="F209" r:id="rId255" xr:uid="{00000000-0004-0000-0200-0000FE000000}"/>
    <hyperlink ref="G209" r:id="rId256" xr:uid="{00000000-0004-0000-0200-0000FF000000}"/>
    <hyperlink ref="F212" r:id="rId257" xr:uid="{00000000-0004-0000-0200-000000010000}"/>
    <hyperlink ref="S212" r:id="rId258" xr:uid="{00000000-0004-0000-0200-000001010000}"/>
    <hyperlink ref="F213" r:id="rId259" xr:uid="{00000000-0004-0000-0200-000002010000}"/>
    <hyperlink ref="F214" r:id="rId260" location=".XAvIHCLSy-s.facebook" xr:uid="{00000000-0004-0000-0200-000003010000}"/>
    <hyperlink ref="S214" r:id="rId261" xr:uid="{00000000-0004-0000-0200-000004010000}"/>
    <hyperlink ref="F215" r:id="rId262" location=".XAvIFs7RkL4.twitter" xr:uid="{00000000-0004-0000-0200-000005010000}"/>
    <hyperlink ref="S215" r:id="rId263" xr:uid="{00000000-0004-0000-0200-000006010000}"/>
    <hyperlink ref="F216" r:id="rId264" xr:uid="{00000000-0004-0000-0200-000007010000}"/>
    <hyperlink ref="S216" r:id="rId265" xr:uid="{00000000-0004-0000-0200-000008010000}"/>
    <hyperlink ref="F218" r:id="rId266" xr:uid="{00000000-0004-0000-0200-000009010000}"/>
    <hyperlink ref="F219" r:id="rId267" xr:uid="{00000000-0004-0000-0200-00000A010000}"/>
    <hyperlink ref="F220" r:id="rId268" xr:uid="{00000000-0004-0000-0200-00000B010000}"/>
    <hyperlink ref="S222" r:id="rId269" xr:uid="{00000000-0004-0000-0200-00000C010000}"/>
    <hyperlink ref="G224" r:id="rId270" xr:uid="{00000000-0004-0000-0200-00000D010000}"/>
    <hyperlink ref="G226" r:id="rId271" xr:uid="{00000000-0004-0000-0200-00000E010000}"/>
    <hyperlink ref="F227" r:id="rId272" xr:uid="{00000000-0004-0000-0200-00000F010000}"/>
    <hyperlink ref="C228" r:id="rId273" xr:uid="{00000000-0004-0000-0200-000010010000}"/>
    <hyperlink ref="S228" r:id="rId274" xr:uid="{00000000-0004-0000-0200-000011010000}"/>
    <hyperlink ref="G229" r:id="rId275" xr:uid="{00000000-0004-0000-0200-000012010000}"/>
    <hyperlink ref="F230" r:id="rId276" xr:uid="{00000000-0004-0000-0200-000013010000}"/>
    <hyperlink ref="F231" r:id="rId277" location="ns_campaign=rrss-inducido&amp;ns_mchannel=abc-es&amp;ns_source=tw&amp;ns_linkname=noticia-video&amp;ns_fee=0" xr:uid="{00000000-0004-0000-0200-000014010000}"/>
    <hyperlink ref="F233" r:id="rId278" xr:uid="{00000000-0004-0000-0200-000015010000}"/>
    <hyperlink ref="S233" r:id="rId279" xr:uid="{00000000-0004-0000-0200-000016010000}"/>
    <hyperlink ref="G234" r:id="rId280" xr:uid="{00000000-0004-0000-0200-000017010000}"/>
    <hyperlink ref="S234" r:id="rId281" xr:uid="{00000000-0004-0000-0200-000018010000}"/>
    <hyperlink ref="G236" r:id="rId282" xr:uid="{00000000-0004-0000-0200-000019010000}"/>
    <hyperlink ref="G237" r:id="rId283" xr:uid="{00000000-0004-0000-0200-00001A010000}"/>
    <hyperlink ref="F239" r:id="rId284" xr:uid="{00000000-0004-0000-0200-00001B010000}"/>
    <hyperlink ref="F241" r:id="rId285" xr:uid="{00000000-0004-0000-0200-00001C010000}"/>
    <hyperlink ref="S241" r:id="rId286" xr:uid="{00000000-0004-0000-0200-00001D010000}"/>
    <hyperlink ref="F242" r:id="rId287" xr:uid="{00000000-0004-0000-0200-00001E010000}"/>
    <hyperlink ref="S242" r:id="rId288" xr:uid="{00000000-0004-0000-0200-00001F010000}"/>
    <hyperlink ref="F243" r:id="rId289" xr:uid="{00000000-0004-0000-0200-000020010000}"/>
    <hyperlink ref="G243" r:id="rId290" xr:uid="{00000000-0004-0000-0200-000021010000}"/>
    <hyperlink ref="S243" r:id="rId291" xr:uid="{00000000-0004-0000-0200-000022010000}"/>
    <hyperlink ref="F244" r:id="rId292" xr:uid="{00000000-0004-0000-0200-000023010000}"/>
    <hyperlink ref="F245" r:id="rId293" xr:uid="{00000000-0004-0000-0200-000024010000}"/>
    <hyperlink ref="S245" r:id="rId294" xr:uid="{00000000-0004-0000-0200-000025010000}"/>
    <hyperlink ref="S247" r:id="rId295" xr:uid="{00000000-0004-0000-0200-000026010000}"/>
    <hyperlink ref="F248" r:id="rId296" xr:uid="{00000000-0004-0000-0200-000027010000}"/>
    <hyperlink ref="F250" r:id="rId297" xr:uid="{00000000-0004-0000-0200-000028010000}"/>
    <hyperlink ref="S250" r:id="rId298" xr:uid="{00000000-0004-0000-0200-000029010000}"/>
    <hyperlink ref="F251" r:id="rId299" xr:uid="{00000000-0004-0000-0200-00002A010000}"/>
    <hyperlink ref="G252" r:id="rId300" xr:uid="{00000000-0004-0000-0200-00002B010000}"/>
    <hyperlink ref="S253" r:id="rId301" xr:uid="{00000000-0004-0000-0200-00002C010000}"/>
    <hyperlink ref="F254" r:id="rId302" xr:uid="{00000000-0004-0000-0200-00002D010000}"/>
    <hyperlink ref="S256" r:id="rId303" xr:uid="{00000000-0004-0000-0200-00002E010000}"/>
    <hyperlink ref="F257" r:id="rId304" xr:uid="{00000000-0004-0000-0200-00002F010000}"/>
    <hyperlink ref="F261" r:id="rId305" xr:uid="{00000000-0004-0000-0200-000030010000}"/>
    <hyperlink ref="F263" r:id="rId306" xr:uid="{00000000-0004-0000-0200-000031010000}"/>
    <hyperlink ref="F265" r:id="rId307" xr:uid="{00000000-0004-0000-0200-000032010000}"/>
    <hyperlink ref="S265" r:id="rId308" xr:uid="{00000000-0004-0000-0200-000033010000}"/>
    <hyperlink ref="G267" r:id="rId309" xr:uid="{00000000-0004-0000-0200-000034010000}"/>
    <hyperlink ref="G268" r:id="rId310" xr:uid="{00000000-0004-0000-0200-000035010000}"/>
    <hyperlink ref="F269" r:id="rId311" xr:uid="{00000000-0004-0000-0200-000036010000}"/>
    <hyperlink ref="F271" r:id="rId312" xr:uid="{00000000-0004-0000-0200-000037010000}"/>
    <hyperlink ref="G272" r:id="rId313" xr:uid="{00000000-0004-0000-0200-000038010000}"/>
    <hyperlink ref="F273" r:id="rId314" xr:uid="{00000000-0004-0000-0200-000039010000}"/>
    <hyperlink ref="S273" r:id="rId315" xr:uid="{00000000-0004-0000-0200-00003A010000}"/>
    <hyperlink ref="G275" r:id="rId316" xr:uid="{00000000-0004-0000-0200-00003B010000}"/>
    <hyperlink ref="F277" r:id="rId317" xr:uid="{00000000-0004-0000-0200-00003C010000}"/>
    <hyperlink ref="F279" r:id="rId318" xr:uid="{00000000-0004-0000-0200-00003D010000}"/>
    <hyperlink ref="G281" r:id="rId319" xr:uid="{00000000-0004-0000-0200-00003E010000}"/>
    <hyperlink ref="F282" r:id="rId320" xr:uid="{00000000-0004-0000-0200-00003F010000}"/>
    <hyperlink ref="S282" r:id="rId321" xr:uid="{00000000-0004-0000-0200-000040010000}"/>
    <hyperlink ref="F283" r:id="rId322" xr:uid="{00000000-0004-0000-0200-000041010000}"/>
    <hyperlink ref="S283" r:id="rId323" xr:uid="{00000000-0004-0000-0200-000042010000}"/>
    <hyperlink ref="F284" r:id="rId324" xr:uid="{00000000-0004-0000-0200-000043010000}"/>
    <hyperlink ref="G284" r:id="rId325" xr:uid="{00000000-0004-0000-0200-000044010000}"/>
    <hyperlink ref="F285" r:id="rId326" xr:uid="{00000000-0004-0000-0200-000045010000}"/>
    <hyperlink ref="S285" r:id="rId327" xr:uid="{00000000-0004-0000-0200-000046010000}"/>
    <hyperlink ref="S286" r:id="rId328" xr:uid="{00000000-0004-0000-0200-000047010000}"/>
    <hyperlink ref="F287" r:id="rId329" xr:uid="{00000000-0004-0000-0200-000048010000}"/>
    <hyperlink ref="G287" r:id="rId330" xr:uid="{00000000-0004-0000-0200-000049010000}"/>
    <hyperlink ref="S287" r:id="rId331" xr:uid="{00000000-0004-0000-0200-00004A010000}"/>
    <hyperlink ref="F288" r:id="rId332" xr:uid="{00000000-0004-0000-0200-00004B010000}"/>
    <hyperlink ref="F289" r:id="rId333" xr:uid="{00000000-0004-0000-0200-00004C010000}"/>
    <hyperlink ref="G294" r:id="rId334" xr:uid="{00000000-0004-0000-0200-00004D010000}"/>
    <hyperlink ref="F295" r:id="rId335" xr:uid="{00000000-0004-0000-0200-00004E010000}"/>
    <hyperlink ref="F296" r:id="rId336" xr:uid="{00000000-0004-0000-0200-00004F010000}"/>
    <hyperlink ref="F297" r:id="rId337" xr:uid="{00000000-0004-0000-0200-000050010000}"/>
    <hyperlink ref="G300" r:id="rId338" xr:uid="{00000000-0004-0000-0200-000051010000}"/>
    <hyperlink ref="F301" r:id="rId339" xr:uid="{00000000-0004-0000-0200-000052010000}"/>
    <hyperlink ref="F302" r:id="rId340" xr:uid="{00000000-0004-0000-0200-000053010000}"/>
    <hyperlink ref="F303" r:id="rId341" xr:uid="{00000000-0004-0000-0200-000054010000}"/>
    <hyperlink ref="S303" r:id="rId342" xr:uid="{00000000-0004-0000-0200-000055010000}"/>
    <hyperlink ref="F304" r:id="rId343" xr:uid="{00000000-0004-0000-0200-000056010000}"/>
    <hyperlink ref="S304" r:id="rId344" xr:uid="{00000000-0004-0000-0200-000057010000}"/>
    <hyperlink ref="F305" r:id="rId345" xr:uid="{00000000-0004-0000-0200-000058010000}"/>
    <hyperlink ref="G305" r:id="rId346" xr:uid="{00000000-0004-0000-0200-000059010000}"/>
    <hyperlink ref="S305" r:id="rId347" xr:uid="{00000000-0004-0000-0200-00005A010000}"/>
    <hyperlink ref="F306" r:id="rId348" xr:uid="{00000000-0004-0000-0200-00005B010000}"/>
    <hyperlink ref="F307" r:id="rId349" xr:uid="{00000000-0004-0000-0200-00005C010000}"/>
    <hyperlink ref="F308" r:id="rId350" xr:uid="{00000000-0004-0000-0200-00005D010000}"/>
    <hyperlink ref="G308" r:id="rId351" xr:uid="{00000000-0004-0000-0200-00005E010000}"/>
    <hyperlink ref="S308" r:id="rId352" xr:uid="{00000000-0004-0000-0200-00005F010000}"/>
    <hyperlink ref="G310" r:id="rId353" xr:uid="{00000000-0004-0000-0200-000060010000}"/>
    <hyperlink ref="S310" r:id="rId354" xr:uid="{00000000-0004-0000-0200-000061010000}"/>
    <hyperlink ref="F311" r:id="rId355" xr:uid="{00000000-0004-0000-0200-000062010000}"/>
    <hyperlink ref="S311" r:id="rId356" xr:uid="{00000000-0004-0000-0200-000063010000}"/>
    <hyperlink ref="S312" r:id="rId357" xr:uid="{00000000-0004-0000-0200-000064010000}"/>
    <hyperlink ref="F313" r:id="rId358" xr:uid="{00000000-0004-0000-0200-000065010000}"/>
    <hyperlink ref="G314" r:id="rId359" xr:uid="{00000000-0004-0000-0200-000066010000}"/>
    <hyperlink ref="S314" r:id="rId360" xr:uid="{00000000-0004-0000-0200-000067010000}"/>
    <hyperlink ref="F316" r:id="rId361" xr:uid="{00000000-0004-0000-0200-000068010000}"/>
    <hyperlink ref="F317" r:id="rId362" xr:uid="{00000000-0004-0000-0200-000069010000}"/>
    <hyperlink ref="S317" r:id="rId363" xr:uid="{00000000-0004-0000-0200-00006A010000}"/>
    <hyperlink ref="F318" r:id="rId364" xr:uid="{00000000-0004-0000-0200-00006B010000}"/>
    <hyperlink ref="G318" r:id="rId365" xr:uid="{00000000-0004-0000-0200-00006C010000}"/>
    <hyperlink ref="F320" r:id="rId366" xr:uid="{00000000-0004-0000-0200-00006D010000}"/>
    <hyperlink ref="F321" r:id="rId367" xr:uid="{00000000-0004-0000-0200-00006E010000}"/>
    <hyperlink ref="R321" r:id="rId368" xr:uid="{00000000-0004-0000-0200-00006F010000}"/>
    <hyperlink ref="S321" r:id="rId369" xr:uid="{00000000-0004-0000-0200-000070010000}"/>
    <hyperlink ref="S322" r:id="rId370" xr:uid="{00000000-0004-0000-0200-000071010000}"/>
    <hyperlink ref="S323" r:id="rId371" xr:uid="{00000000-0004-0000-0200-000072010000}"/>
    <hyperlink ref="F324" r:id="rId372" xr:uid="{00000000-0004-0000-0200-000073010000}"/>
    <hyperlink ref="F325" r:id="rId373" xr:uid="{00000000-0004-0000-0200-000074010000}"/>
    <hyperlink ref="S325" r:id="rId374" xr:uid="{00000000-0004-0000-0200-000075010000}"/>
    <hyperlink ref="F326" r:id="rId375" xr:uid="{00000000-0004-0000-0200-000076010000}"/>
    <hyperlink ref="G326" r:id="rId376" xr:uid="{00000000-0004-0000-0200-000077010000}"/>
    <hyperlink ref="S326" r:id="rId377" xr:uid="{00000000-0004-0000-0200-000078010000}"/>
    <hyperlink ref="F327" r:id="rId378" xr:uid="{00000000-0004-0000-0200-000079010000}"/>
    <hyperlink ref="G327" r:id="rId379" xr:uid="{00000000-0004-0000-0200-00007A010000}"/>
    <hyperlink ref="R327" r:id="rId380" xr:uid="{00000000-0004-0000-0200-00007B010000}"/>
    <hyperlink ref="S327" r:id="rId381" xr:uid="{00000000-0004-0000-0200-00007C010000}"/>
    <hyperlink ref="F328" r:id="rId382" xr:uid="{00000000-0004-0000-0200-00007D010000}"/>
    <hyperlink ref="F329" r:id="rId383" xr:uid="{00000000-0004-0000-0200-00007E010000}"/>
    <hyperlink ref="C330" r:id="rId384" xr:uid="{00000000-0004-0000-0200-00007F010000}"/>
    <hyperlink ref="F330" r:id="rId385" xr:uid="{00000000-0004-0000-0200-000080010000}"/>
    <hyperlink ref="S330" r:id="rId386" xr:uid="{00000000-0004-0000-0200-000081010000}"/>
    <hyperlink ref="F331" r:id="rId387" xr:uid="{00000000-0004-0000-0200-000082010000}"/>
    <hyperlink ref="G331" r:id="rId388" xr:uid="{00000000-0004-0000-0200-000083010000}"/>
    <hyperlink ref="S331" r:id="rId389" xr:uid="{00000000-0004-0000-0200-000084010000}"/>
    <hyperlink ref="F332" r:id="rId390" xr:uid="{00000000-0004-0000-0200-000085010000}"/>
    <hyperlink ref="F334" r:id="rId391" xr:uid="{00000000-0004-0000-0200-000086010000}"/>
    <hyperlink ref="C335" r:id="rId392" xr:uid="{00000000-0004-0000-0200-000087010000}"/>
    <hyperlink ref="S335" r:id="rId393" xr:uid="{00000000-0004-0000-0200-000088010000}"/>
    <hyperlink ref="F336" r:id="rId394" xr:uid="{00000000-0004-0000-0200-000089010000}"/>
    <hyperlink ref="G337" r:id="rId395" xr:uid="{00000000-0004-0000-0200-00008A010000}"/>
    <hyperlink ref="S337" r:id="rId396" xr:uid="{00000000-0004-0000-0200-00008B010000}"/>
    <hyperlink ref="G338" r:id="rId397" xr:uid="{00000000-0004-0000-0200-00008C010000}"/>
    <hyperlink ref="F339" r:id="rId398" xr:uid="{00000000-0004-0000-0200-00008D010000}"/>
    <hyperlink ref="G339" r:id="rId399" xr:uid="{00000000-0004-0000-0200-00008E010000}"/>
    <hyperlink ref="S339" r:id="rId400" xr:uid="{00000000-0004-0000-0200-00008F010000}"/>
    <hyperlink ref="G340" r:id="rId401" xr:uid="{00000000-0004-0000-0200-000090010000}"/>
    <hyperlink ref="F341" r:id="rId402" xr:uid="{00000000-0004-0000-0200-000091010000}"/>
    <hyperlink ref="S342" r:id="rId403" xr:uid="{00000000-0004-0000-0200-000092010000}"/>
    <hyperlink ref="F343" r:id="rId404" location=".XAuhfKqN9NI.twitter" xr:uid="{00000000-0004-0000-0200-000093010000}"/>
    <hyperlink ref="G345" r:id="rId405" xr:uid="{00000000-0004-0000-0200-000094010000}"/>
    <hyperlink ref="F346" r:id="rId406" xr:uid="{00000000-0004-0000-0200-000095010000}"/>
    <hyperlink ref="F347" r:id="rId407" location="Echobox=1544167062" xr:uid="{00000000-0004-0000-0200-000096010000}"/>
    <hyperlink ref="S347" r:id="rId408" xr:uid="{00000000-0004-0000-0200-000097010000}"/>
    <hyperlink ref="F348" r:id="rId409" xr:uid="{00000000-0004-0000-0200-000098010000}"/>
    <hyperlink ref="R348" r:id="rId410" xr:uid="{00000000-0004-0000-0200-000099010000}"/>
    <hyperlink ref="F349" r:id="rId411" xr:uid="{00000000-0004-0000-0200-00009A010000}"/>
    <hyperlink ref="F352" r:id="rId412" xr:uid="{00000000-0004-0000-0200-00009B010000}"/>
    <hyperlink ref="S352" r:id="rId413" xr:uid="{00000000-0004-0000-0200-00009C010000}"/>
    <hyperlink ref="C353" r:id="rId414" xr:uid="{00000000-0004-0000-0200-00009D010000}"/>
    <hyperlink ref="F353" r:id="rId415" xr:uid="{00000000-0004-0000-0200-00009E010000}"/>
    <hyperlink ref="S353" r:id="rId416" xr:uid="{00000000-0004-0000-0200-00009F010000}"/>
    <hyperlink ref="F354" r:id="rId417" xr:uid="{00000000-0004-0000-0200-0000A0010000}"/>
    <hyperlink ref="C355" r:id="rId418" xr:uid="{00000000-0004-0000-0200-0000A1010000}"/>
    <hyperlink ref="F355" r:id="rId419" xr:uid="{00000000-0004-0000-0200-0000A2010000}"/>
    <hyperlink ref="G355" r:id="rId420" xr:uid="{00000000-0004-0000-0200-0000A3010000}"/>
    <hyperlink ref="S355" r:id="rId421" xr:uid="{00000000-0004-0000-0200-0000A4010000}"/>
    <hyperlink ref="F356" r:id="rId422" xr:uid="{00000000-0004-0000-0200-0000A5010000}"/>
    <hyperlink ref="F357" r:id="rId423" xr:uid="{00000000-0004-0000-0200-0000A6010000}"/>
    <hyperlink ref="S357" r:id="rId424" xr:uid="{00000000-0004-0000-0200-0000A7010000}"/>
    <hyperlink ref="G358" r:id="rId425" xr:uid="{00000000-0004-0000-0200-0000A8010000}"/>
    <hyperlink ref="S358" r:id="rId426" xr:uid="{00000000-0004-0000-0200-0000A9010000}"/>
    <hyperlink ref="S359" r:id="rId427" xr:uid="{00000000-0004-0000-0200-0000AA010000}"/>
    <hyperlink ref="F360" r:id="rId428" xr:uid="{00000000-0004-0000-0200-0000AB010000}"/>
    <hyperlink ref="G363" r:id="rId429" xr:uid="{00000000-0004-0000-0200-0000AC010000}"/>
    <hyperlink ref="G365" r:id="rId430" xr:uid="{00000000-0004-0000-0200-0000AD010000}"/>
    <hyperlink ref="S365" r:id="rId431" xr:uid="{00000000-0004-0000-0200-0000AE010000}"/>
    <hyperlink ref="F366" r:id="rId432" xr:uid="{00000000-0004-0000-0200-0000AF010000}"/>
    <hyperlink ref="S367" r:id="rId433" xr:uid="{00000000-0004-0000-0200-0000B0010000}"/>
    <hyperlink ref="F368" r:id="rId434" location="Echobox=1544255969" xr:uid="{00000000-0004-0000-0200-0000B1010000}"/>
    <hyperlink ref="S368" r:id="rId435" xr:uid="{00000000-0004-0000-0200-0000B2010000}"/>
    <hyperlink ref="F369" r:id="rId436" xr:uid="{00000000-0004-0000-0200-0000B3010000}"/>
    <hyperlink ref="F370" r:id="rId437" xr:uid="{00000000-0004-0000-0200-0000B4010000}"/>
    <hyperlink ref="F371" r:id="rId438" location=".XAuX4qqYslU.twitter" xr:uid="{00000000-0004-0000-0200-0000B5010000}"/>
    <hyperlink ref="F372" r:id="rId439" xr:uid="{00000000-0004-0000-0200-0000B6010000}"/>
    <hyperlink ref="S372" r:id="rId440" xr:uid="{00000000-0004-0000-0200-0000B7010000}"/>
    <hyperlink ref="G373" r:id="rId441" xr:uid="{00000000-0004-0000-0200-0000B8010000}"/>
    <hyperlink ref="S373" r:id="rId442" xr:uid="{00000000-0004-0000-0200-0000B9010000}"/>
    <hyperlink ref="F375" r:id="rId443" xr:uid="{00000000-0004-0000-0200-0000BA010000}"/>
    <hyperlink ref="S375" r:id="rId444" xr:uid="{00000000-0004-0000-0200-0000BB010000}"/>
    <hyperlink ref="F377" r:id="rId445" xr:uid="{00000000-0004-0000-0200-0000BC010000}"/>
    <hyperlink ref="F378" r:id="rId446" xr:uid="{00000000-0004-0000-0200-0000BD010000}"/>
    <hyperlink ref="G378" r:id="rId447" xr:uid="{00000000-0004-0000-0200-0000BE010000}"/>
    <hyperlink ref="S378" r:id="rId448" xr:uid="{00000000-0004-0000-0200-0000BF010000}"/>
    <hyperlink ref="G379" r:id="rId449" xr:uid="{00000000-0004-0000-0200-0000C0010000}"/>
    <hyperlink ref="F381" r:id="rId450" xr:uid="{00000000-0004-0000-0200-0000C1010000}"/>
    <hyperlink ref="S381" r:id="rId451" xr:uid="{00000000-0004-0000-0200-0000C2010000}"/>
    <hyperlink ref="G383" r:id="rId452" xr:uid="{00000000-0004-0000-0200-0000C3010000}"/>
    <hyperlink ref="S383" r:id="rId453" xr:uid="{00000000-0004-0000-0200-0000C4010000}"/>
    <hyperlink ref="F384" r:id="rId454" xr:uid="{00000000-0004-0000-0200-0000C5010000}"/>
    <hyperlink ref="G384" r:id="rId455" xr:uid="{00000000-0004-0000-0200-0000C6010000}"/>
    <hyperlink ref="S384" r:id="rId456" xr:uid="{00000000-0004-0000-0200-0000C7010000}"/>
    <hyperlink ref="F385" r:id="rId457" xr:uid="{00000000-0004-0000-0200-0000C8010000}"/>
    <hyperlink ref="S385" r:id="rId458" xr:uid="{00000000-0004-0000-0200-0000C9010000}"/>
    <hyperlink ref="F386" r:id="rId459" location="Echobox=1544255826" xr:uid="{00000000-0004-0000-0200-0000CA010000}"/>
    <hyperlink ref="S386" r:id="rId460" xr:uid="{00000000-0004-0000-0200-0000CB010000}"/>
    <hyperlink ref="F388" r:id="rId461" xr:uid="{00000000-0004-0000-0200-0000CC010000}"/>
    <hyperlink ref="G388" r:id="rId462" xr:uid="{00000000-0004-0000-0200-0000CD010000}"/>
    <hyperlink ref="G389" r:id="rId463" xr:uid="{00000000-0004-0000-0200-0000CE010000}"/>
    <hyperlink ref="S389" r:id="rId464" xr:uid="{00000000-0004-0000-0200-0000CF010000}"/>
    <hyperlink ref="F390" r:id="rId465" xr:uid="{00000000-0004-0000-0200-0000D0010000}"/>
    <hyperlink ref="F391" r:id="rId466" xr:uid="{00000000-0004-0000-0200-0000D1010000}"/>
    <hyperlink ref="S391" r:id="rId467" xr:uid="{00000000-0004-0000-0200-0000D2010000}"/>
    <hyperlink ref="S392" r:id="rId468" xr:uid="{00000000-0004-0000-0200-0000D3010000}"/>
    <hyperlink ref="F393" r:id="rId469" xr:uid="{00000000-0004-0000-0200-0000D4010000}"/>
    <hyperlink ref="S394" r:id="rId470" xr:uid="{00000000-0004-0000-0200-0000D5010000}"/>
    <hyperlink ref="F395" r:id="rId471" xr:uid="{00000000-0004-0000-0200-0000D6010000}"/>
    <hyperlink ref="G395" r:id="rId472" xr:uid="{00000000-0004-0000-0200-0000D7010000}"/>
    <hyperlink ref="F396" r:id="rId473" xr:uid="{00000000-0004-0000-0200-0000D8010000}"/>
    <hyperlink ref="S396" r:id="rId474" xr:uid="{00000000-0004-0000-0200-0000D9010000}"/>
    <hyperlink ref="F397" r:id="rId475" xr:uid="{00000000-0004-0000-0200-0000DA010000}"/>
    <hyperlink ref="F399" r:id="rId476" xr:uid="{00000000-0004-0000-0200-0000DB010000}"/>
    <hyperlink ref="F400" r:id="rId477" xr:uid="{00000000-0004-0000-0200-0000DC010000}"/>
    <hyperlink ref="S401" r:id="rId478" xr:uid="{00000000-0004-0000-0200-0000DD010000}"/>
    <hyperlink ref="F402" r:id="rId479" xr:uid="{00000000-0004-0000-0200-0000DE010000}"/>
    <hyperlink ref="F403" r:id="rId480" xr:uid="{00000000-0004-0000-0200-0000DF010000}"/>
    <hyperlink ref="S404" r:id="rId481" xr:uid="{00000000-0004-0000-0200-0000E0010000}"/>
    <hyperlink ref="F405" r:id="rId482" xr:uid="{00000000-0004-0000-0200-0000E1010000}"/>
    <hyperlink ref="G405" r:id="rId483" xr:uid="{00000000-0004-0000-0200-0000E2010000}"/>
    <hyperlink ref="S405" r:id="rId484" xr:uid="{00000000-0004-0000-0200-0000E3010000}"/>
    <hyperlink ref="F406" r:id="rId485" location=".XAuKEOccK-k.twitter" xr:uid="{00000000-0004-0000-0200-0000E4010000}"/>
    <hyperlink ref="G408" r:id="rId486" xr:uid="{00000000-0004-0000-0200-0000E5010000}"/>
    <hyperlink ref="F409" r:id="rId487" xr:uid="{00000000-0004-0000-0200-0000E6010000}"/>
    <hyperlink ref="F410" r:id="rId488" xr:uid="{00000000-0004-0000-0200-0000E7010000}"/>
    <hyperlink ref="F411" r:id="rId489" xr:uid="{00000000-0004-0000-0200-0000E8010000}"/>
    <hyperlink ref="G411" r:id="rId490" xr:uid="{00000000-0004-0000-0200-0000E9010000}"/>
    <hyperlink ref="S411" r:id="rId491" xr:uid="{00000000-0004-0000-0200-0000EA010000}"/>
    <hyperlink ref="F412" r:id="rId492" xr:uid="{00000000-0004-0000-0200-0000EB010000}"/>
    <hyperlink ref="C414" r:id="rId493" xr:uid="{00000000-0004-0000-0200-0000EC010000}"/>
    <hyperlink ref="F414" r:id="rId494" xr:uid="{00000000-0004-0000-0200-0000ED010000}"/>
    <hyperlink ref="S414" r:id="rId495" xr:uid="{00000000-0004-0000-0200-0000EE010000}"/>
    <hyperlink ref="F415" r:id="rId496" xr:uid="{00000000-0004-0000-0200-0000EF010000}"/>
    <hyperlink ref="F416" r:id="rId497" xr:uid="{00000000-0004-0000-0200-0000F0010000}"/>
    <hyperlink ref="F417" r:id="rId498" xr:uid="{00000000-0004-0000-0200-0000F1010000}"/>
    <hyperlink ref="G417" r:id="rId499" xr:uid="{00000000-0004-0000-0200-0000F2010000}"/>
    <hyperlink ref="S417" r:id="rId500" xr:uid="{00000000-0004-0000-0200-0000F3010000}"/>
    <hyperlink ref="F418" r:id="rId501" location="referrer=https%3A%2F%2Fwww.google.com&amp;amp_tf=De%20%251%24s&amp;ampshare=https%3A%2F%2Fokdiario.com%2Feconomia%2F2018%2F12%2F08%2Fitalia-credibilidad-presupuestos-pedro-sanchez-denunciar-ue-trato-discriminatorio-3437675" xr:uid="{00000000-0004-0000-0200-0000F4010000}"/>
    <hyperlink ref="F419" r:id="rId502" xr:uid="{00000000-0004-0000-0200-0000F5010000}"/>
    <hyperlink ref="S420" r:id="rId503" xr:uid="{00000000-0004-0000-0200-0000F6010000}"/>
    <hyperlink ref="F421" r:id="rId504" xr:uid="{00000000-0004-0000-0200-0000F7010000}"/>
    <hyperlink ref="G421" r:id="rId505" xr:uid="{00000000-0004-0000-0200-0000F8010000}"/>
    <hyperlink ref="F422" r:id="rId506" xr:uid="{00000000-0004-0000-0200-0000F9010000}"/>
    <hyperlink ref="S422" r:id="rId507" xr:uid="{00000000-0004-0000-0200-0000FA010000}"/>
    <hyperlink ref="F424" r:id="rId508" xr:uid="{00000000-0004-0000-0200-0000FB010000}"/>
    <hyperlink ref="G424" r:id="rId509" xr:uid="{00000000-0004-0000-0200-0000FC010000}"/>
    <hyperlink ref="S424" r:id="rId510" xr:uid="{00000000-0004-0000-0200-0000FD010000}"/>
    <hyperlink ref="F425" r:id="rId511" location=".XAuFZ0W3yZs.twitter" xr:uid="{00000000-0004-0000-0200-0000FE010000}"/>
    <hyperlink ref="S425" r:id="rId512" xr:uid="{00000000-0004-0000-0200-0000FF010000}"/>
    <hyperlink ref="F427" r:id="rId513" xr:uid="{00000000-0004-0000-0200-000000020000}"/>
    <hyperlink ref="F429" r:id="rId514" xr:uid="{00000000-0004-0000-0200-000001020000}"/>
    <hyperlink ref="F430" r:id="rId515" location="Echobox=1544255299" xr:uid="{00000000-0004-0000-0200-000002020000}"/>
    <hyperlink ref="S430" r:id="rId516" xr:uid="{00000000-0004-0000-0200-000003020000}"/>
    <hyperlink ref="F431" r:id="rId517" xr:uid="{00000000-0004-0000-0200-000004020000}"/>
    <hyperlink ref="G431" r:id="rId518" xr:uid="{00000000-0004-0000-0200-000005020000}"/>
    <hyperlink ref="F433" r:id="rId519" xr:uid="{00000000-0004-0000-0200-000006020000}"/>
    <hyperlink ref="S433" r:id="rId520" xr:uid="{00000000-0004-0000-0200-000007020000}"/>
    <hyperlink ref="F434" r:id="rId521" xr:uid="{00000000-0004-0000-0200-000008020000}"/>
    <hyperlink ref="G434" r:id="rId522" xr:uid="{00000000-0004-0000-0200-000009020000}"/>
    <hyperlink ref="S434" r:id="rId523" xr:uid="{00000000-0004-0000-0200-00000A020000}"/>
    <hyperlink ref="F435" r:id="rId524" xr:uid="{00000000-0004-0000-0200-00000B020000}"/>
    <hyperlink ref="F436" r:id="rId525" xr:uid="{00000000-0004-0000-0200-00000C020000}"/>
    <hyperlink ref="F437" r:id="rId526" xr:uid="{00000000-0004-0000-0200-00000D020000}"/>
    <hyperlink ref="F438" r:id="rId527" location="ns_campaign=rrss-inducido&amp;ns_mchannel=abc-es&amp;ns_source=tw&amp;ns_linkname=noticia-video&amp;ns_fee=0" xr:uid="{00000000-0004-0000-0200-00000E020000}"/>
    <hyperlink ref="F439" r:id="rId528" xr:uid="{00000000-0004-0000-0200-00000F020000}"/>
    <hyperlink ref="F440" r:id="rId529" xr:uid="{00000000-0004-0000-0200-000010020000}"/>
    <hyperlink ref="F441" r:id="rId530" xr:uid="{00000000-0004-0000-0200-000011020000}"/>
    <hyperlink ref="F442" r:id="rId531" xr:uid="{00000000-0004-0000-0200-000012020000}"/>
    <hyperlink ref="F443" r:id="rId532" xr:uid="{00000000-0004-0000-0200-000013020000}"/>
    <hyperlink ref="F444" r:id="rId533" xr:uid="{00000000-0004-0000-0200-000014020000}"/>
    <hyperlink ref="F447" r:id="rId534" location="Echobox=1544254431" xr:uid="{00000000-0004-0000-0200-000015020000}"/>
    <hyperlink ref="S447" r:id="rId535" xr:uid="{00000000-0004-0000-0200-000016020000}"/>
    <hyperlink ref="G448" r:id="rId536" xr:uid="{00000000-0004-0000-0200-000017020000}"/>
    <hyperlink ref="S448" r:id="rId537" xr:uid="{00000000-0004-0000-0200-000018020000}"/>
    <hyperlink ref="F449" r:id="rId538" xr:uid="{00000000-0004-0000-0200-000019020000}"/>
    <hyperlink ref="S449" r:id="rId539" xr:uid="{00000000-0004-0000-0200-00001A020000}"/>
    <hyperlink ref="G450" r:id="rId540" xr:uid="{00000000-0004-0000-0200-00001B020000}"/>
    <hyperlink ref="F451" r:id="rId541" xr:uid="{00000000-0004-0000-0200-00001C020000}"/>
    <hyperlink ref="F452" r:id="rId542" xr:uid="{00000000-0004-0000-0200-00001D020000}"/>
    <hyperlink ref="F453" r:id="rId543" xr:uid="{00000000-0004-0000-0200-00001E020000}"/>
    <hyperlink ref="F454" r:id="rId544" xr:uid="{00000000-0004-0000-0200-00001F020000}"/>
    <hyperlink ref="R454" r:id="rId545" xr:uid="{00000000-0004-0000-0200-000020020000}"/>
    <hyperlink ref="S454" r:id="rId546" xr:uid="{00000000-0004-0000-0200-000021020000}"/>
    <hyperlink ref="F455" r:id="rId547" xr:uid="{00000000-0004-0000-0200-000022020000}"/>
    <hyperlink ref="G455" r:id="rId548" xr:uid="{00000000-0004-0000-0200-000023020000}"/>
    <hyperlink ref="S455" r:id="rId549" xr:uid="{00000000-0004-0000-0200-000024020000}"/>
    <hyperlink ref="S456" r:id="rId550" xr:uid="{00000000-0004-0000-0200-000025020000}"/>
    <hyperlink ref="F457" r:id="rId551" xr:uid="{00000000-0004-0000-0200-000026020000}"/>
    <hyperlink ref="F458" r:id="rId552" xr:uid="{00000000-0004-0000-0200-000027020000}"/>
    <hyperlink ref="S458" r:id="rId553" xr:uid="{00000000-0004-0000-0200-000028020000}"/>
    <hyperlink ref="F459" r:id="rId554" xr:uid="{00000000-0004-0000-0200-000029020000}"/>
    <hyperlink ref="S459" r:id="rId555" xr:uid="{00000000-0004-0000-0200-00002A020000}"/>
    <hyperlink ref="F460" r:id="rId556" xr:uid="{00000000-0004-0000-0200-00002B020000}"/>
    <hyperlink ref="F461" r:id="rId557" xr:uid="{00000000-0004-0000-0200-00002C020000}"/>
    <hyperlink ref="S461" r:id="rId558" xr:uid="{00000000-0004-0000-0200-00002D020000}"/>
    <hyperlink ref="S462" r:id="rId559" xr:uid="{00000000-0004-0000-0200-00002E020000}"/>
    <hyperlink ref="F463" r:id="rId560" xr:uid="{00000000-0004-0000-0200-00002F020000}"/>
    <hyperlink ref="S463" r:id="rId561" xr:uid="{00000000-0004-0000-0200-000030020000}"/>
    <hyperlink ref="F464" r:id="rId562" xr:uid="{00000000-0004-0000-0200-000031020000}"/>
    <hyperlink ref="F465" r:id="rId563" xr:uid="{00000000-0004-0000-0200-000032020000}"/>
    <hyperlink ref="G465" r:id="rId564" xr:uid="{00000000-0004-0000-0200-000033020000}"/>
    <hyperlink ref="F466" r:id="rId565" xr:uid="{00000000-0004-0000-0200-000034020000}"/>
    <hyperlink ref="F467" r:id="rId566" location=".XAt2gOOWGn4.twitter" xr:uid="{00000000-0004-0000-0200-000035020000}"/>
    <hyperlink ref="C468" r:id="rId567" xr:uid="{00000000-0004-0000-0200-000036020000}"/>
    <hyperlink ref="F468" r:id="rId568" xr:uid="{00000000-0004-0000-0200-000037020000}"/>
    <hyperlink ref="S468" r:id="rId569" xr:uid="{00000000-0004-0000-0200-000038020000}"/>
    <hyperlink ref="F469" r:id="rId570" xr:uid="{00000000-0004-0000-0200-000039020000}"/>
    <hyperlink ref="F471" r:id="rId571" xr:uid="{00000000-0004-0000-0200-00003A020000}"/>
    <hyperlink ref="G472" r:id="rId572" xr:uid="{00000000-0004-0000-0200-00003B020000}"/>
    <hyperlink ref="S473" r:id="rId573" xr:uid="{00000000-0004-0000-0200-00003C020000}"/>
    <hyperlink ref="F474" r:id="rId574" xr:uid="{00000000-0004-0000-0200-00003D020000}"/>
    <hyperlink ref="F475" r:id="rId575" xr:uid="{00000000-0004-0000-0200-00003E020000}"/>
    <hyperlink ref="F477" r:id="rId576" xr:uid="{00000000-0004-0000-0200-00003F020000}"/>
    <hyperlink ref="F478" r:id="rId577" location=".XAtvUAU4otk.twitter" xr:uid="{00000000-0004-0000-0200-000040020000}"/>
    <hyperlink ref="F479" r:id="rId578" xr:uid="{00000000-0004-0000-0200-000041020000}"/>
    <hyperlink ref="F480" r:id="rId579" xr:uid="{00000000-0004-0000-0200-000042020000}"/>
    <hyperlink ref="S481" r:id="rId580" xr:uid="{00000000-0004-0000-0200-000043020000}"/>
    <hyperlink ref="F483" r:id="rId581" xr:uid="{00000000-0004-0000-0200-000044020000}"/>
    <hyperlink ref="S483" r:id="rId582" xr:uid="{00000000-0004-0000-0200-000045020000}"/>
    <hyperlink ref="G484" r:id="rId583" xr:uid="{00000000-0004-0000-0200-000046020000}"/>
    <hyperlink ref="S484" r:id="rId584" xr:uid="{00000000-0004-0000-0200-000047020000}"/>
    <hyperlink ref="F485" r:id="rId585" location=".XAtnkW_oA5E.twitter" xr:uid="{00000000-0004-0000-0200-000048020000}"/>
    <hyperlink ref="F486" r:id="rId586" xr:uid="{00000000-0004-0000-0200-000049020000}"/>
    <hyperlink ref="G486" r:id="rId587" xr:uid="{00000000-0004-0000-0200-00004A020000}"/>
    <hyperlink ref="S486" r:id="rId588" xr:uid="{00000000-0004-0000-0200-00004B020000}"/>
    <hyperlink ref="S487" r:id="rId589" xr:uid="{00000000-0004-0000-0200-00004C020000}"/>
    <hyperlink ref="F488" r:id="rId590" xr:uid="{00000000-0004-0000-0200-00004D020000}"/>
    <hyperlink ref="F489" r:id="rId591" xr:uid="{00000000-0004-0000-0200-00004E020000}"/>
    <hyperlink ref="F491" r:id="rId592" location="Echobox=1544249062" xr:uid="{00000000-0004-0000-0200-00004F020000}"/>
    <hyperlink ref="F492" r:id="rId593" xr:uid="{00000000-0004-0000-0200-000050020000}"/>
    <hyperlink ref="F493" r:id="rId594" xr:uid="{00000000-0004-0000-0200-000051020000}"/>
    <hyperlink ref="S493" r:id="rId595" xr:uid="{00000000-0004-0000-0200-000052020000}"/>
    <hyperlink ref="F494" r:id="rId596" xr:uid="{00000000-0004-0000-0200-000053020000}"/>
    <hyperlink ref="F495" r:id="rId597" xr:uid="{00000000-0004-0000-0200-000054020000}"/>
    <hyperlink ref="S495" r:id="rId598" xr:uid="{00000000-0004-0000-0200-000055020000}"/>
    <hyperlink ref="F496" r:id="rId599" xr:uid="{00000000-0004-0000-0200-000056020000}"/>
    <hyperlink ref="S496" r:id="rId600" xr:uid="{00000000-0004-0000-0200-000057020000}"/>
    <hyperlink ref="F497" r:id="rId601" xr:uid="{00000000-0004-0000-0200-000058020000}"/>
    <hyperlink ref="S497" r:id="rId602" xr:uid="{00000000-0004-0000-0200-000059020000}"/>
    <hyperlink ref="F498" r:id="rId603" xr:uid="{00000000-0004-0000-0200-00005A020000}"/>
    <hyperlink ref="S498" r:id="rId604" xr:uid="{00000000-0004-0000-0200-00005B020000}"/>
    <hyperlink ref="F499" r:id="rId605" xr:uid="{00000000-0004-0000-0200-00005C020000}"/>
    <hyperlink ref="G499" r:id="rId606" xr:uid="{00000000-0004-0000-0200-00005D020000}"/>
    <hyperlink ref="S499" r:id="rId607" xr:uid="{00000000-0004-0000-0200-00005E020000}"/>
    <hyperlink ref="F500" r:id="rId608" xr:uid="{00000000-0004-0000-0200-00005F020000}"/>
    <hyperlink ref="F501" r:id="rId609" xr:uid="{00000000-0004-0000-0200-000060020000}"/>
    <hyperlink ref="G501" r:id="rId610" xr:uid="{00000000-0004-0000-0200-000061020000}"/>
    <hyperlink ref="S501" r:id="rId611" xr:uid="{00000000-0004-0000-0200-000062020000}"/>
    <hyperlink ref="F503" r:id="rId612" xr:uid="{00000000-0004-0000-0200-000063020000}"/>
    <hyperlink ref="F504" r:id="rId613" xr:uid="{00000000-0004-0000-0200-000064020000}"/>
    <hyperlink ref="S504" r:id="rId614" xr:uid="{00000000-0004-0000-0200-000065020000}"/>
    <hyperlink ref="F505" r:id="rId615" xr:uid="{00000000-0004-0000-0200-000066020000}"/>
    <hyperlink ref="G505" r:id="rId616" xr:uid="{00000000-0004-0000-0200-000067020000}"/>
    <hyperlink ref="S505" r:id="rId617" xr:uid="{00000000-0004-0000-0200-000068020000}"/>
    <hyperlink ref="G506" r:id="rId618" xr:uid="{00000000-0004-0000-0200-000069020000}"/>
    <hyperlink ref="F507" r:id="rId619" xr:uid="{00000000-0004-0000-0200-00006A020000}"/>
    <hyperlink ref="G507" r:id="rId620" xr:uid="{00000000-0004-0000-0200-00006B020000}"/>
    <hyperlink ref="F508" r:id="rId621" xr:uid="{00000000-0004-0000-0200-00006C020000}"/>
    <hyperlink ref="F509" r:id="rId622" xr:uid="{00000000-0004-0000-0200-00006D020000}"/>
    <hyperlink ref="G509" r:id="rId623" xr:uid="{00000000-0004-0000-0200-00006E020000}"/>
    <hyperlink ref="S509" r:id="rId624" xr:uid="{00000000-0004-0000-0200-00006F020000}"/>
    <hyperlink ref="F510" r:id="rId625" xr:uid="{00000000-0004-0000-0200-000070020000}"/>
    <hyperlink ref="F511" r:id="rId626" xr:uid="{00000000-0004-0000-0200-000071020000}"/>
    <hyperlink ref="G511" r:id="rId627" xr:uid="{00000000-0004-0000-0200-000072020000}"/>
    <hyperlink ref="S511" r:id="rId628" xr:uid="{00000000-0004-0000-0200-000073020000}"/>
    <hyperlink ref="F512" r:id="rId629" xr:uid="{00000000-0004-0000-0200-000074020000}"/>
    <hyperlink ref="F513" r:id="rId630" xr:uid="{00000000-0004-0000-0200-000075020000}"/>
    <hyperlink ref="S513" r:id="rId631" xr:uid="{00000000-0004-0000-0200-000076020000}"/>
    <hyperlink ref="F514" r:id="rId632" xr:uid="{00000000-0004-0000-0200-000077020000}"/>
    <hyperlink ref="G514" r:id="rId633" xr:uid="{00000000-0004-0000-0200-000078020000}"/>
    <hyperlink ref="F515" r:id="rId634" xr:uid="{00000000-0004-0000-0200-000079020000}"/>
    <hyperlink ref="G515" r:id="rId635" xr:uid="{00000000-0004-0000-0200-00007A020000}"/>
    <hyperlink ref="S515" r:id="rId636" xr:uid="{00000000-0004-0000-0200-00007B020000}"/>
    <hyperlink ref="F516" r:id="rId637" xr:uid="{00000000-0004-0000-0200-00007C020000}"/>
    <hyperlink ref="G516" r:id="rId638" xr:uid="{00000000-0004-0000-0200-00007D020000}"/>
    <hyperlink ref="S516" r:id="rId639" xr:uid="{00000000-0004-0000-0200-00007E020000}"/>
    <hyperlink ref="F517" r:id="rId640" xr:uid="{00000000-0004-0000-0200-00007F020000}"/>
    <hyperlink ref="G517" r:id="rId641" xr:uid="{00000000-0004-0000-0200-000080020000}"/>
    <hyperlink ref="S517" r:id="rId642" xr:uid="{00000000-0004-0000-0200-000081020000}"/>
    <hyperlink ref="F518" r:id="rId643" xr:uid="{00000000-0004-0000-0200-000082020000}"/>
    <hyperlink ref="F519" r:id="rId644" xr:uid="{00000000-0004-0000-0200-000083020000}"/>
    <hyperlink ref="G519" r:id="rId645" xr:uid="{00000000-0004-0000-0200-000084020000}"/>
    <hyperlink ref="S519" r:id="rId646" xr:uid="{00000000-0004-0000-0200-000085020000}"/>
    <hyperlink ref="F520" r:id="rId647" xr:uid="{00000000-0004-0000-0200-000086020000}"/>
    <hyperlink ref="S520" r:id="rId648" xr:uid="{00000000-0004-0000-0200-000087020000}"/>
    <hyperlink ref="F522" r:id="rId649" xr:uid="{00000000-0004-0000-0200-000088020000}"/>
    <hyperlink ref="F523" r:id="rId650" xr:uid="{00000000-0004-0000-0200-000089020000}"/>
    <hyperlink ref="F524" r:id="rId651" xr:uid="{00000000-0004-0000-0200-00008A020000}"/>
    <hyperlink ref="F526" r:id="rId652" xr:uid="{00000000-0004-0000-0200-00008B020000}"/>
    <hyperlink ref="G526" r:id="rId653" xr:uid="{00000000-0004-0000-0200-00008C020000}"/>
    <hyperlink ref="F527" r:id="rId654" xr:uid="{00000000-0004-0000-0200-00008D020000}"/>
    <hyperlink ref="F528" r:id="rId655" xr:uid="{00000000-0004-0000-0200-00008E020000}"/>
    <hyperlink ref="F529" r:id="rId656" xr:uid="{00000000-0004-0000-0200-00008F020000}"/>
    <hyperlink ref="G529" r:id="rId657" xr:uid="{00000000-0004-0000-0200-000090020000}"/>
    <hyperlink ref="S529" r:id="rId658" xr:uid="{00000000-0004-0000-0200-000091020000}"/>
    <hyperlink ref="F530" r:id="rId659" xr:uid="{00000000-0004-0000-0200-000092020000}"/>
    <hyperlink ref="S530" r:id="rId660" xr:uid="{00000000-0004-0000-0200-000093020000}"/>
    <hyperlink ref="F531" r:id="rId661" xr:uid="{00000000-0004-0000-0200-000094020000}"/>
    <hyperlink ref="S531" r:id="rId662" xr:uid="{00000000-0004-0000-0200-000095020000}"/>
    <hyperlink ref="F532" r:id="rId663" xr:uid="{00000000-0004-0000-0200-000096020000}"/>
    <hyperlink ref="F533" r:id="rId664" xr:uid="{00000000-0004-0000-0200-000097020000}"/>
    <hyperlink ref="G533" r:id="rId665" xr:uid="{00000000-0004-0000-0200-000098020000}"/>
    <hyperlink ref="S533" r:id="rId666" xr:uid="{00000000-0004-0000-0200-000099020000}"/>
    <hyperlink ref="F534" r:id="rId667" xr:uid="{00000000-0004-0000-0200-00009A020000}"/>
    <hyperlink ref="G534" r:id="rId668" xr:uid="{00000000-0004-0000-0200-00009B020000}"/>
    <hyperlink ref="F535" r:id="rId669" xr:uid="{00000000-0004-0000-0200-00009C020000}"/>
    <hyperlink ref="S535" r:id="rId670" xr:uid="{00000000-0004-0000-0200-00009D020000}"/>
    <hyperlink ref="F536" r:id="rId671" xr:uid="{00000000-0004-0000-0200-00009E020000}"/>
    <hyperlink ref="G536" r:id="rId672" xr:uid="{00000000-0004-0000-0200-00009F020000}"/>
    <hyperlink ref="F537" r:id="rId673" xr:uid="{00000000-0004-0000-0200-0000A0020000}"/>
    <hyperlink ref="S537" r:id="rId674" xr:uid="{00000000-0004-0000-0200-0000A1020000}"/>
    <hyperlink ref="F539" r:id="rId675" xr:uid="{00000000-0004-0000-0200-0000A2020000}"/>
    <hyperlink ref="F540" r:id="rId676" xr:uid="{00000000-0004-0000-0200-0000A3020000}"/>
    <hyperlink ref="G540" r:id="rId677" xr:uid="{00000000-0004-0000-0200-0000A4020000}"/>
    <hyperlink ref="S540" r:id="rId678" xr:uid="{00000000-0004-0000-0200-0000A5020000}"/>
    <hyperlink ref="F541" r:id="rId679" xr:uid="{00000000-0004-0000-0200-0000A6020000}"/>
    <hyperlink ref="F542" r:id="rId680" xr:uid="{00000000-0004-0000-0200-0000A7020000}"/>
    <hyperlink ref="F543" r:id="rId681" xr:uid="{00000000-0004-0000-0200-0000A8020000}"/>
    <hyperlink ref="G545" r:id="rId682" xr:uid="{00000000-0004-0000-0200-0000A9020000}"/>
    <hyperlink ref="F546" r:id="rId683" xr:uid="{00000000-0004-0000-0200-0000AA020000}"/>
    <hyperlink ref="S546" r:id="rId684" xr:uid="{00000000-0004-0000-0200-0000AB020000}"/>
    <hyperlink ref="F547" r:id="rId685" xr:uid="{00000000-0004-0000-0200-0000AC020000}"/>
    <hyperlink ref="F548" r:id="rId686" xr:uid="{00000000-0004-0000-0200-0000AD020000}"/>
    <hyperlink ref="G548" r:id="rId687" xr:uid="{00000000-0004-0000-0200-0000AE020000}"/>
    <hyperlink ref="S548" r:id="rId688" xr:uid="{00000000-0004-0000-0200-0000AF020000}"/>
    <hyperlink ref="F549" r:id="rId689" xr:uid="{00000000-0004-0000-0200-0000B0020000}"/>
    <hyperlink ref="F551" r:id="rId690" xr:uid="{00000000-0004-0000-0200-0000B1020000}"/>
    <hyperlink ref="F552" r:id="rId691" xr:uid="{00000000-0004-0000-0200-0000B2020000}"/>
    <hyperlink ref="F553" r:id="rId692" xr:uid="{00000000-0004-0000-0200-0000B3020000}"/>
    <hyperlink ref="G553" r:id="rId693" xr:uid="{00000000-0004-0000-0200-0000B4020000}"/>
    <hyperlink ref="F554" r:id="rId694" xr:uid="{00000000-0004-0000-0200-0000B5020000}"/>
    <hyperlink ref="F555" r:id="rId695" xr:uid="{00000000-0004-0000-0200-0000B6020000}"/>
    <hyperlink ref="G556" r:id="rId696" xr:uid="{00000000-0004-0000-0200-0000B7020000}"/>
    <hyperlink ref="S556" r:id="rId697" xr:uid="{00000000-0004-0000-0200-0000B8020000}"/>
    <hyperlink ref="F557" r:id="rId698" xr:uid="{00000000-0004-0000-0200-0000B9020000}"/>
    <hyperlink ref="G559" r:id="rId699" xr:uid="{00000000-0004-0000-0200-0000BA020000}"/>
    <hyperlink ref="F560" r:id="rId700" xr:uid="{00000000-0004-0000-0200-0000BB020000}"/>
    <hyperlink ref="F561" r:id="rId701" xr:uid="{00000000-0004-0000-0200-0000BC020000}"/>
    <hyperlink ref="F562" r:id="rId702" xr:uid="{00000000-0004-0000-0200-0000BD020000}"/>
    <hyperlink ref="G562" r:id="rId703" xr:uid="{00000000-0004-0000-0200-0000BE020000}"/>
    <hyperlink ref="S562" r:id="rId704" xr:uid="{00000000-0004-0000-0200-0000BF020000}"/>
    <hyperlink ref="F564" r:id="rId705" xr:uid="{00000000-0004-0000-0200-0000C0020000}"/>
    <hyperlink ref="S564" r:id="rId706" xr:uid="{00000000-0004-0000-0200-0000C1020000}"/>
    <hyperlink ref="F566" r:id="rId707" xr:uid="{00000000-0004-0000-0200-0000C2020000}"/>
    <hyperlink ref="G567" r:id="rId708" xr:uid="{00000000-0004-0000-0200-0000C3020000}"/>
    <hyperlink ref="F568" r:id="rId709" xr:uid="{00000000-0004-0000-0200-0000C4020000}"/>
    <hyperlink ref="S568" r:id="rId710" xr:uid="{00000000-0004-0000-0200-0000C5020000}"/>
    <hyperlink ref="F569" r:id="rId711" xr:uid="{00000000-0004-0000-0200-0000C6020000}"/>
    <hyperlink ref="S569" r:id="rId712" xr:uid="{00000000-0004-0000-0200-0000C7020000}"/>
    <hyperlink ref="F570" r:id="rId713" xr:uid="{00000000-0004-0000-0200-0000C8020000}"/>
    <hyperlink ref="F571" r:id="rId714" xr:uid="{00000000-0004-0000-0200-0000C9020000}"/>
    <hyperlink ref="F572" r:id="rId715" xr:uid="{00000000-0004-0000-0200-0000CA020000}"/>
    <hyperlink ref="G573" r:id="rId716" xr:uid="{00000000-0004-0000-0200-0000CB020000}"/>
    <hyperlink ref="S574" r:id="rId717" xr:uid="{00000000-0004-0000-0200-0000CC020000}"/>
    <hyperlink ref="F576" r:id="rId718" xr:uid="{00000000-0004-0000-0200-0000CD020000}"/>
    <hyperlink ref="S576" r:id="rId719" xr:uid="{00000000-0004-0000-0200-0000CE020000}"/>
    <hyperlink ref="F577" r:id="rId720" xr:uid="{00000000-0004-0000-0200-0000CF020000}"/>
    <hyperlink ref="S579" r:id="rId721" xr:uid="{00000000-0004-0000-0200-0000D0020000}"/>
    <hyperlink ref="G580" r:id="rId722" xr:uid="{00000000-0004-0000-0200-0000D1020000}"/>
    <hyperlink ref="F581" r:id="rId723" xr:uid="{00000000-0004-0000-0200-0000D2020000}"/>
    <hyperlink ref="G581" r:id="rId724" xr:uid="{00000000-0004-0000-0200-0000D3020000}"/>
    <hyperlink ref="F582" r:id="rId725" xr:uid="{00000000-0004-0000-0200-0000D4020000}"/>
    <hyperlink ref="S582" r:id="rId726" xr:uid="{00000000-0004-0000-0200-0000D5020000}"/>
    <hyperlink ref="F583" r:id="rId727" xr:uid="{00000000-0004-0000-0200-0000D6020000}"/>
    <hyperlink ref="S583" r:id="rId728" xr:uid="{00000000-0004-0000-0200-0000D7020000}"/>
    <hyperlink ref="F584" r:id="rId729" xr:uid="{00000000-0004-0000-0200-0000D8020000}"/>
    <hyperlink ref="G584" r:id="rId730" xr:uid="{00000000-0004-0000-0200-0000D9020000}"/>
    <hyperlink ref="S584" r:id="rId731" xr:uid="{00000000-0004-0000-0200-0000DA020000}"/>
    <hyperlink ref="G585" r:id="rId732" xr:uid="{00000000-0004-0000-0200-0000DB020000}"/>
    <hyperlink ref="F586" r:id="rId733" xr:uid="{00000000-0004-0000-0200-0000DC020000}"/>
    <hyperlink ref="G586" r:id="rId734" xr:uid="{00000000-0004-0000-0200-0000DD020000}"/>
    <hyperlink ref="S586" r:id="rId735" xr:uid="{00000000-0004-0000-0200-0000DE020000}"/>
    <hyperlink ref="F587" r:id="rId736" xr:uid="{00000000-0004-0000-0200-0000DF020000}"/>
    <hyperlink ref="F588" r:id="rId737" xr:uid="{00000000-0004-0000-0200-0000E0020000}"/>
    <hyperlink ref="G588" r:id="rId738" xr:uid="{00000000-0004-0000-0200-0000E1020000}"/>
    <hyperlink ref="S588" r:id="rId739" xr:uid="{00000000-0004-0000-0200-0000E2020000}"/>
    <hyperlink ref="F589" r:id="rId740" xr:uid="{00000000-0004-0000-0200-0000E3020000}"/>
    <hyperlink ref="S589" r:id="rId741" xr:uid="{00000000-0004-0000-0200-0000E4020000}"/>
    <hyperlink ref="C590" r:id="rId742" xr:uid="{00000000-0004-0000-0200-0000E5020000}"/>
    <hyperlink ref="F590" r:id="rId743" xr:uid="{00000000-0004-0000-0200-0000E6020000}"/>
    <hyperlink ref="G590" r:id="rId744" xr:uid="{00000000-0004-0000-0200-0000E7020000}"/>
    <hyperlink ref="S590" r:id="rId745" xr:uid="{00000000-0004-0000-0200-0000E8020000}"/>
    <hyperlink ref="F592" r:id="rId746" xr:uid="{00000000-0004-0000-0200-0000E9020000}"/>
    <hyperlink ref="F594" r:id="rId747" xr:uid="{00000000-0004-0000-0200-0000EA020000}"/>
    <hyperlink ref="F595" r:id="rId748" xr:uid="{00000000-0004-0000-0200-0000EB020000}"/>
    <hyperlink ref="S595" r:id="rId749" xr:uid="{00000000-0004-0000-0200-0000EC020000}"/>
    <hyperlink ref="F596" r:id="rId750" xr:uid="{00000000-0004-0000-0200-0000ED020000}"/>
    <hyperlink ref="F597" r:id="rId751" xr:uid="{00000000-0004-0000-0200-0000EE020000}"/>
    <hyperlink ref="G598" r:id="rId752" xr:uid="{00000000-0004-0000-0200-0000EF020000}"/>
    <hyperlink ref="F600" r:id="rId753" xr:uid="{00000000-0004-0000-0200-0000F0020000}"/>
    <hyperlink ref="S600" r:id="rId754" xr:uid="{00000000-0004-0000-0200-0000F1020000}"/>
    <hyperlink ref="F601" r:id="rId755" xr:uid="{00000000-0004-0000-0200-0000F2020000}"/>
    <hyperlink ref="S601" r:id="rId756" xr:uid="{00000000-0004-0000-0200-0000F3020000}"/>
    <hyperlink ref="F602" r:id="rId757" xr:uid="{00000000-0004-0000-0200-0000F4020000}"/>
    <hyperlink ref="F603" r:id="rId758" xr:uid="{00000000-0004-0000-0200-0000F5020000}"/>
    <hyperlink ref="S603" r:id="rId759" xr:uid="{00000000-0004-0000-0200-0000F6020000}"/>
    <hyperlink ref="F604" r:id="rId760" xr:uid="{00000000-0004-0000-0200-0000F7020000}"/>
    <hyperlink ref="S604" r:id="rId761" xr:uid="{00000000-0004-0000-0200-0000F8020000}"/>
    <hyperlink ref="F605" r:id="rId762" xr:uid="{00000000-0004-0000-0200-0000F9020000}"/>
    <hyperlink ref="S605" r:id="rId763" xr:uid="{00000000-0004-0000-0200-0000FA020000}"/>
    <hyperlink ref="F606" r:id="rId764" xr:uid="{00000000-0004-0000-0200-0000FB020000}"/>
    <hyperlink ref="F607" r:id="rId765" xr:uid="{00000000-0004-0000-0200-0000FC020000}"/>
    <hyperlink ref="F608" r:id="rId766" xr:uid="{00000000-0004-0000-0200-0000FD020000}"/>
    <hyperlink ref="S609" r:id="rId767" xr:uid="{00000000-0004-0000-0200-0000FE020000}"/>
    <hyperlink ref="F610" r:id="rId768" xr:uid="{00000000-0004-0000-0200-0000FF020000}"/>
    <hyperlink ref="G610" r:id="rId769" xr:uid="{00000000-0004-0000-0200-000000030000}"/>
    <hyperlink ref="S610" r:id="rId770" xr:uid="{00000000-0004-0000-0200-000001030000}"/>
    <hyperlink ref="F611" r:id="rId771" xr:uid="{00000000-0004-0000-0200-000002030000}"/>
    <hyperlink ref="F612" r:id="rId772" xr:uid="{00000000-0004-0000-0200-000003030000}"/>
    <hyperlink ref="G614" r:id="rId773" xr:uid="{00000000-0004-0000-0200-000004030000}"/>
    <hyperlink ref="F615" r:id="rId774" xr:uid="{00000000-0004-0000-0200-000005030000}"/>
    <hyperlink ref="F617" r:id="rId775" xr:uid="{00000000-0004-0000-0200-000006030000}"/>
    <hyperlink ref="F618" r:id="rId776" xr:uid="{00000000-0004-0000-0200-000007030000}"/>
    <hyperlink ref="F619" r:id="rId777" xr:uid="{00000000-0004-0000-0200-000008030000}"/>
    <hyperlink ref="F620" r:id="rId778" xr:uid="{00000000-0004-0000-0200-000009030000}"/>
    <hyperlink ref="S621" r:id="rId779" xr:uid="{00000000-0004-0000-0200-00000A030000}"/>
    <hyperlink ref="F622" r:id="rId780" xr:uid="{00000000-0004-0000-0200-00000B030000}"/>
    <hyperlink ref="F623" r:id="rId781" xr:uid="{00000000-0004-0000-0200-00000C030000}"/>
    <hyperlink ref="S623" r:id="rId782" xr:uid="{00000000-0004-0000-0200-00000D030000}"/>
    <hyperlink ref="F625" r:id="rId783" xr:uid="{00000000-0004-0000-0200-00000E030000}"/>
    <hyperlink ref="F626" r:id="rId784" xr:uid="{00000000-0004-0000-0200-00000F030000}"/>
    <hyperlink ref="F627" r:id="rId785" xr:uid="{00000000-0004-0000-0200-000010030000}"/>
    <hyperlink ref="S627" r:id="rId786" location="!/mercedes.mosquerabango.7?ref=bookmark" xr:uid="{00000000-0004-0000-0200-000011030000}"/>
    <hyperlink ref="F628" r:id="rId787" xr:uid="{00000000-0004-0000-0200-000012030000}"/>
    <hyperlink ref="S628" r:id="rId788" xr:uid="{00000000-0004-0000-0200-000013030000}"/>
    <hyperlink ref="F629" r:id="rId789" xr:uid="{00000000-0004-0000-0200-000014030000}"/>
    <hyperlink ref="S629" r:id="rId790" xr:uid="{00000000-0004-0000-0200-000015030000}"/>
    <hyperlink ref="F630" r:id="rId791" xr:uid="{00000000-0004-0000-0200-000016030000}"/>
    <hyperlink ref="F631" r:id="rId792" xr:uid="{00000000-0004-0000-0200-000017030000}"/>
    <hyperlink ref="S631" r:id="rId793" xr:uid="{00000000-0004-0000-0200-000018030000}"/>
    <hyperlink ref="F632" r:id="rId794" xr:uid="{00000000-0004-0000-0200-000019030000}"/>
    <hyperlink ref="G632" r:id="rId795" xr:uid="{00000000-0004-0000-0200-00001A030000}"/>
    <hyperlink ref="S632" r:id="rId796" xr:uid="{00000000-0004-0000-0200-00001B030000}"/>
    <hyperlink ref="F633" r:id="rId797" xr:uid="{00000000-0004-0000-0200-00001C030000}"/>
    <hyperlink ref="F634" r:id="rId798" xr:uid="{00000000-0004-0000-0200-00001D030000}"/>
    <hyperlink ref="F635" r:id="rId799" xr:uid="{00000000-0004-0000-0200-00001E030000}"/>
    <hyperlink ref="F636" r:id="rId800" location="?ref=rss&amp;format=simple&amp;link=link" xr:uid="{00000000-0004-0000-0200-00001F030000}"/>
    <hyperlink ref="F637" r:id="rId801" xr:uid="{00000000-0004-0000-0200-000020030000}"/>
    <hyperlink ref="S637" r:id="rId802" xr:uid="{00000000-0004-0000-0200-000021030000}"/>
    <hyperlink ref="F638" r:id="rId803" xr:uid="{00000000-0004-0000-0200-000022030000}"/>
    <hyperlink ref="F640" r:id="rId804" xr:uid="{00000000-0004-0000-0200-000023030000}"/>
    <hyperlink ref="F642" r:id="rId805" xr:uid="{00000000-0004-0000-0200-000024030000}"/>
    <hyperlink ref="F645" r:id="rId806" xr:uid="{00000000-0004-0000-0200-000025030000}"/>
    <hyperlink ref="S645" r:id="rId807" xr:uid="{00000000-0004-0000-0200-000026030000}"/>
    <hyperlink ref="F646" r:id="rId808" xr:uid="{00000000-0004-0000-0200-000027030000}"/>
    <hyperlink ref="G647" r:id="rId809" xr:uid="{00000000-0004-0000-0200-000028030000}"/>
    <hyperlink ref="F648" r:id="rId810" xr:uid="{00000000-0004-0000-0200-000029030000}"/>
    <hyperlink ref="G648" r:id="rId811" xr:uid="{00000000-0004-0000-0200-00002A030000}"/>
    <hyperlink ref="F649" r:id="rId812" xr:uid="{00000000-0004-0000-0200-00002B030000}"/>
    <hyperlink ref="F651" r:id="rId813" xr:uid="{00000000-0004-0000-0200-00002C030000}"/>
    <hyperlink ref="S651" r:id="rId814" xr:uid="{00000000-0004-0000-0200-00002D030000}"/>
    <hyperlink ref="F653" r:id="rId815" xr:uid="{00000000-0004-0000-0200-00002E030000}"/>
    <hyperlink ref="S657" r:id="rId816" xr:uid="{00000000-0004-0000-0200-00002F030000}"/>
    <hyperlink ref="F658" r:id="rId817" xr:uid="{00000000-0004-0000-0200-000030030000}"/>
    <hyperlink ref="F659" r:id="rId818" xr:uid="{00000000-0004-0000-0200-000031030000}"/>
    <hyperlink ref="F660" r:id="rId819" xr:uid="{00000000-0004-0000-0200-000032030000}"/>
    <hyperlink ref="F661" r:id="rId820" xr:uid="{00000000-0004-0000-0200-000033030000}"/>
    <hyperlink ref="G661" r:id="rId821" xr:uid="{00000000-0004-0000-0200-000034030000}"/>
    <hyperlink ref="S661" r:id="rId822" xr:uid="{00000000-0004-0000-0200-000035030000}"/>
    <hyperlink ref="F664" r:id="rId823" xr:uid="{00000000-0004-0000-0200-000036030000}"/>
    <hyperlink ref="G664" r:id="rId824" xr:uid="{00000000-0004-0000-0200-000037030000}"/>
    <hyperlink ref="S664" r:id="rId825" xr:uid="{00000000-0004-0000-0200-000038030000}"/>
    <hyperlink ref="F667" r:id="rId826" xr:uid="{00000000-0004-0000-0200-000039030000}"/>
    <hyperlink ref="F668" r:id="rId827" xr:uid="{00000000-0004-0000-0200-00003A030000}"/>
    <hyperlink ref="F669" r:id="rId828" xr:uid="{00000000-0004-0000-0200-00003B030000}"/>
    <hyperlink ref="F670" r:id="rId829" xr:uid="{00000000-0004-0000-0200-00003C030000}"/>
    <hyperlink ref="G671" r:id="rId830" xr:uid="{00000000-0004-0000-0200-00003D030000}"/>
    <hyperlink ref="S671" r:id="rId831" xr:uid="{00000000-0004-0000-0200-00003E030000}"/>
    <hyperlink ref="F672" r:id="rId832" location=".XArYkVxjjvw.facebook" xr:uid="{00000000-0004-0000-0200-00003F030000}"/>
    <hyperlink ref="S672" r:id="rId833" xr:uid="{00000000-0004-0000-0200-000040030000}"/>
    <hyperlink ref="F673" r:id="rId834" xr:uid="{00000000-0004-0000-0200-000041030000}"/>
    <hyperlink ref="F674" r:id="rId835" location=".XArYj2zw1jg.twitter" xr:uid="{00000000-0004-0000-0200-000042030000}"/>
    <hyperlink ref="F676" r:id="rId836" xr:uid="{00000000-0004-0000-0200-000043030000}"/>
    <hyperlink ref="S676" r:id="rId837" xr:uid="{00000000-0004-0000-0200-000044030000}"/>
    <hyperlink ref="G678" r:id="rId838" xr:uid="{00000000-0004-0000-0200-000045030000}"/>
    <hyperlink ref="S678" r:id="rId839" xr:uid="{00000000-0004-0000-0200-000046030000}"/>
    <hyperlink ref="F679" r:id="rId840" xr:uid="{00000000-0004-0000-0200-000047030000}"/>
    <hyperlink ref="F680" r:id="rId841" xr:uid="{00000000-0004-0000-0200-000048030000}"/>
    <hyperlink ref="G680" r:id="rId842" xr:uid="{00000000-0004-0000-0200-000049030000}"/>
    <hyperlink ref="F681" r:id="rId843" xr:uid="{00000000-0004-0000-0200-00004A030000}"/>
    <hyperlink ref="F682" r:id="rId844" xr:uid="{00000000-0004-0000-0200-00004B030000}"/>
    <hyperlink ref="F683" r:id="rId845" location="Echobox=1543692017" xr:uid="{00000000-0004-0000-0200-00004C030000}"/>
    <hyperlink ref="F684" r:id="rId846" xr:uid="{00000000-0004-0000-0200-00004D030000}"/>
    <hyperlink ref="F685" r:id="rId847" xr:uid="{00000000-0004-0000-0200-00004E030000}"/>
    <hyperlink ref="F686" r:id="rId848" xr:uid="{00000000-0004-0000-0200-00004F030000}"/>
    <hyperlink ref="G686" r:id="rId849" xr:uid="{00000000-0004-0000-0200-000050030000}"/>
    <hyperlink ref="F687" r:id="rId850" xr:uid="{00000000-0004-0000-0200-000051030000}"/>
    <hyperlink ref="F688" r:id="rId851" xr:uid="{00000000-0004-0000-0200-000052030000}"/>
    <hyperlink ref="R688" r:id="rId852" xr:uid="{00000000-0004-0000-0200-000053030000}"/>
    <hyperlink ref="S688" r:id="rId853" xr:uid="{00000000-0004-0000-0200-000054030000}"/>
    <hyperlink ref="F689" r:id="rId854" xr:uid="{00000000-0004-0000-0200-000055030000}"/>
    <hyperlink ref="S690" r:id="rId855" xr:uid="{00000000-0004-0000-0200-000056030000}"/>
    <hyperlink ref="F691" r:id="rId856" xr:uid="{00000000-0004-0000-0200-000057030000}"/>
    <hyperlink ref="G691" r:id="rId857" xr:uid="{00000000-0004-0000-0200-000058030000}"/>
    <hyperlink ref="F692" r:id="rId858" xr:uid="{00000000-0004-0000-0200-000059030000}"/>
    <hyperlink ref="F693" r:id="rId859" xr:uid="{00000000-0004-0000-0200-00005A030000}"/>
    <hyperlink ref="F694" r:id="rId860" xr:uid="{00000000-0004-0000-0200-00005B030000}"/>
    <hyperlink ref="S694" r:id="rId861" xr:uid="{00000000-0004-0000-0200-00005C030000}"/>
    <hyperlink ref="F695" r:id="rId862" xr:uid="{00000000-0004-0000-0200-00005D030000}"/>
    <hyperlink ref="G695" r:id="rId863" xr:uid="{00000000-0004-0000-0200-00005E030000}"/>
    <hyperlink ref="F696" r:id="rId864" xr:uid="{00000000-0004-0000-0200-00005F030000}"/>
    <hyperlink ref="G696" r:id="rId865" xr:uid="{00000000-0004-0000-0200-000060030000}"/>
    <hyperlink ref="S696" r:id="rId866" xr:uid="{00000000-0004-0000-0200-000061030000}"/>
    <hyperlink ref="F697" r:id="rId867" xr:uid="{00000000-0004-0000-0200-000062030000}"/>
    <hyperlink ref="S698" r:id="rId868" xr:uid="{00000000-0004-0000-0200-000063030000}"/>
    <hyperlink ref="S699" r:id="rId869" xr:uid="{00000000-0004-0000-0200-000064030000}"/>
    <hyperlink ref="F700" r:id="rId870" xr:uid="{00000000-0004-0000-0200-000065030000}"/>
    <hyperlink ref="G700" r:id="rId871" xr:uid="{00000000-0004-0000-0200-000066030000}"/>
    <hyperlink ref="F701" r:id="rId872" xr:uid="{00000000-0004-0000-0200-000067030000}"/>
    <hyperlink ref="F702" r:id="rId873" xr:uid="{00000000-0004-0000-0200-000068030000}"/>
    <hyperlink ref="F703" r:id="rId874" xr:uid="{00000000-0004-0000-0200-000069030000}"/>
    <hyperlink ref="S703" r:id="rId875" xr:uid="{00000000-0004-0000-0200-00006A030000}"/>
    <hyperlink ref="F704" r:id="rId876" xr:uid="{00000000-0004-0000-0200-00006B030000}"/>
    <hyperlink ref="F705" r:id="rId877" xr:uid="{00000000-0004-0000-0200-00006C030000}"/>
    <hyperlink ref="S705" r:id="rId878" xr:uid="{00000000-0004-0000-0200-00006D030000}"/>
    <hyperlink ref="G706" r:id="rId879" xr:uid="{00000000-0004-0000-0200-00006E030000}"/>
    <hyperlink ref="S706" r:id="rId880" xr:uid="{00000000-0004-0000-0200-00006F030000}"/>
    <hyperlink ref="F709" r:id="rId881" xr:uid="{00000000-0004-0000-0200-000070030000}"/>
    <hyperlink ref="S709" r:id="rId882" xr:uid="{00000000-0004-0000-0200-000071030000}"/>
    <hyperlink ref="G711" r:id="rId883" xr:uid="{00000000-0004-0000-0200-000072030000}"/>
    <hyperlink ref="S711" r:id="rId884" xr:uid="{00000000-0004-0000-0200-000073030000}"/>
    <hyperlink ref="F713" r:id="rId885" xr:uid="{00000000-0004-0000-0200-000074030000}"/>
    <hyperlink ref="F714" r:id="rId886" xr:uid="{00000000-0004-0000-0200-000075030000}"/>
    <hyperlink ref="F715" r:id="rId887" xr:uid="{00000000-0004-0000-0200-000076030000}"/>
    <hyperlink ref="G716" r:id="rId888" xr:uid="{00000000-0004-0000-0200-000077030000}"/>
    <hyperlink ref="S716" r:id="rId889" xr:uid="{00000000-0004-0000-0200-000078030000}"/>
    <hyperlink ref="F717" r:id="rId890" xr:uid="{00000000-0004-0000-0200-000079030000}"/>
    <hyperlink ref="G717" r:id="rId891" xr:uid="{00000000-0004-0000-0200-00007A030000}"/>
    <hyperlink ref="S717" r:id="rId892" xr:uid="{00000000-0004-0000-0200-00007B030000}"/>
    <hyperlink ref="F718" r:id="rId893" xr:uid="{00000000-0004-0000-0200-00007C030000}"/>
    <hyperlink ref="F719" r:id="rId894" xr:uid="{00000000-0004-0000-0200-00007D030000}"/>
    <hyperlink ref="F720" r:id="rId895" xr:uid="{00000000-0004-0000-0200-00007E030000}"/>
    <hyperlink ref="F721" r:id="rId896" xr:uid="{00000000-0004-0000-0200-00007F030000}"/>
    <hyperlink ref="G721" r:id="rId897" xr:uid="{00000000-0004-0000-0200-000080030000}"/>
    <hyperlink ref="F722" r:id="rId898" xr:uid="{00000000-0004-0000-0200-000081030000}"/>
    <hyperlink ref="F723" r:id="rId899" xr:uid="{00000000-0004-0000-0200-000082030000}"/>
    <hyperlink ref="F724" r:id="rId900" xr:uid="{00000000-0004-0000-0200-000083030000}"/>
    <hyperlink ref="S725" r:id="rId901" xr:uid="{00000000-0004-0000-0200-000084030000}"/>
    <hyperlink ref="F726" r:id="rId902" xr:uid="{00000000-0004-0000-0200-000085030000}"/>
    <hyperlink ref="G726" r:id="rId903" xr:uid="{00000000-0004-0000-0200-000086030000}"/>
    <hyperlink ref="F727" r:id="rId904" xr:uid="{00000000-0004-0000-0200-000087030000}"/>
    <hyperlink ref="G728" r:id="rId905" xr:uid="{00000000-0004-0000-0200-000088030000}"/>
    <hyperlink ref="F729" r:id="rId906" xr:uid="{00000000-0004-0000-0200-000089030000}"/>
    <hyperlink ref="F730" r:id="rId907" xr:uid="{00000000-0004-0000-0200-00008A030000}"/>
    <hyperlink ref="S730" r:id="rId908" xr:uid="{00000000-0004-0000-0200-00008B030000}"/>
    <hyperlink ref="F731" r:id="rId909" xr:uid="{00000000-0004-0000-0200-00008C030000}"/>
    <hyperlink ref="S731" r:id="rId910" xr:uid="{00000000-0004-0000-0200-00008D030000}"/>
    <hyperlink ref="F732" r:id="rId911" xr:uid="{00000000-0004-0000-0200-00008E030000}"/>
    <hyperlink ref="F733" r:id="rId912" xr:uid="{00000000-0004-0000-0200-00008F030000}"/>
    <hyperlink ref="F735" r:id="rId913" xr:uid="{00000000-0004-0000-0200-000090030000}"/>
    <hyperlink ref="F736" r:id="rId914" xr:uid="{00000000-0004-0000-0200-000091030000}"/>
    <hyperlink ref="F737" r:id="rId915" xr:uid="{00000000-0004-0000-0200-000092030000}"/>
    <hyperlink ref="S738" r:id="rId916" xr:uid="{00000000-0004-0000-0200-000093030000}"/>
    <hyperlink ref="F739" r:id="rId917" xr:uid="{00000000-0004-0000-0200-000094030000}"/>
    <hyperlink ref="S739" r:id="rId918" xr:uid="{00000000-0004-0000-0200-000095030000}"/>
    <hyperlink ref="F740" r:id="rId919" xr:uid="{00000000-0004-0000-0200-000096030000}"/>
    <hyperlink ref="G740" r:id="rId920" xr:uid="{00000000-0004-0000-0200-000097030000}"/>
    <hyperlink ref="F741" r:id="rId921" xr:uid="{00000000-0004-0000-0200-000098030000}"/>
    <hyperlink ref="S741" r:id="rId922" xr:uid="{00000000-0004-0000-0200-000099030000}"/>
    <hyperlink ref="S742" r:id="rId923" xr:uid="{00000000-0004-0000-0200-00009A030000}"/>
    <hyperlink ref="F743" r:id="rId924" xr:uid="{00000000-0004-0000-0200-00009B030000}"/>
    <hyperlink ref="F744" r:id="rId925" xr:uid="{00000000-0004-0000-0200-00009C030000}"/>
    <hyperlink ref="F746" r:id="rId926" xr:uid="{00000000-0004-0000-0200-00009D030000}"/>
    <hyperlink ref="G747" r:id="rId927" xr:uid="{00000000-0004-0000-0200-00009E030000}"/>
    <hyperlink ref="F748" r:id="rId928" xr:uid="{00000000-0004-0000-0200-00009F030000}"/>
    <hyperlink ref="F749" r:id="rId929" xr:uid="{00000000-0004-0000-0200-0000A0030000}"/>
    <hyperlink ref="F750" r:id="rId930" xr:uid="{00000000-0004-0000-0200-0000A1030000}"/>
    <hyperlink ref="S750" r:id="rId931" xr:uid="{00000000-0004-0000-0200-0000A2030000}"/>
    <hyperlink ref="G751" r:id="rId932" xr:uid="{00000000-0004-0000-0200-0000A3030000}"/>
    <hyperlink ref="F752" r:id="rId933" xr:uid="{00000000-0004-0000-0200-0000A4030000}"/>
    <hyperlink ref="G752" r:id="rId934" xr:uid="{00000000-0004-0000-0200-0000A5030000}"/>
    <hyperlink ref="S752" r:id="rId935" xr:uid="{00000000-0004-0000-0200-0000A6030000}"/>
    <hyperlink ref="F753" r:id="rId936" xr:uid="{00000000-0004-0000-0200-0000A7030000}"/>
    <hyperlink ref="F754" r:id="rId937" xr:uid="{00000000-0004-0000-0200-0000A8030000}"/>
    <hyperlink ref="F755" r:id="rId938" xr:uid="{00000000-0004-0000-0200-0000A9030000}"/>
    <hyperlink ref="G755" r:id="rId939" xr:uid="{00000000-0004-0000-0200-0000AA030000}"/>
    <hyperlink ref="S755" r:id="rId940" xr:uid="{00000000-0004-0000-0200-0000AB030000}"/>
    <hyperlink ref="F756" r:id="rId941" xr:uid="{00000000-0004-0000-0200-0000AC030000}"/>
    <hyperlink ref="G756" r:id="rId942" xr:uid="{00000000-0004-0000-0200-0000AD030000}"/>
    <hyperlink ref="S756" r:id="rId943" xr:uid="{00000000-0004-0000-0200-0000AE030000}"/>
    <hyperlink ref="F759" r:id="rId944" xr:uid="{00000000-0004-0000-0200-0000AF030000}"/>
    <hyperlink ref="G759" r:id="rId945" xr:uid="{00000000-0004-0000-0200-0000B0030000}"/>
    <hyperlink ref="F760" r:id="rId946" xr:uid="{00000000-0004-0000-0200-0000B1030000}"/>
    <hyperlink ref="F761" r:id="rId947" xr:uid="{00000000-0004-0000-0200-0000B2030000}"/>
    <hyperlink ref="G761" r:id="rId948" xr:uid="{00000000-0004-0000-0200-0000B3030000}"/>
    <hyperlink ref="S761" r:id="rId949" xr:uid="{00000000-0004-0000-0200-0000B4030000}"/>
    <hyperlink ref="F763" r:id="rId950" xr:uid="{00000000-0004-0000-0200-0000B5030000}"/>
    <hyperlink ref="S763" r:id="rId951" xr:uid="{00000000-0004-0000-0200-0000B6030000}"/>
    <hyperlink ref="F764" r:id="rId952" xr:uid="{00000000-0004-0000-0200-0000B7030000}"/>
    <hyperlink ref="G764" r:id="rId953" xr:uid="{00000000-0004-0000-0200-0000B8030000}"/>
    <hyperlink ref="S764" r:id="rId954" xr:uid="{00000000-0004-0000-0200-0000B9030000}"/>
    <hyperlink ref="F765" r:id="rId955" xr:uid="{00000000-0004-0000-0200-0000BA030000}"/>
    <hyperlink ref="G765" r:id="rId956" xr:uid="{00000000-0004-0000-0200-0000BB030000}"/>
    <hyperlink ref="S765" r:id="rId957" xr:uid="{00000000-0004-0000-0200-0000BC030000}"/>
    <hyperlink ref="F767" r:id="rId958" xr:uid="{00000000-0004-0000-0200-0000BD030000}"/>
    <hyperlink ref="G767" r:id="rId959" xr:uid="{00000000-0004-0000-0200-0000BE030000}"/>
    <hyperlink ref="S767" r:id="rId960" xr:uid="{00000000-0004-0000-0200-0000BF030000}"/>
    <hyperlink ref="F769" r:id="rId961" xr:uid="{00000000-0004-0000-0200-0000C0030000}"/>
    <hyperlink ref="F770" r:id="rId962" xr:uid="{00000000-0004-0000-0200-0000C1030000}"/>
    <hyperlink ref="F771" r:id="rId963" xr:uid="{00000000-0004-0000-0200-0000C2030000}"/>
    <hyperlink ref="F772" r:id="rId964" xr:uid="{00000000-0004-0000-0200-0000C3030000}"/>
    <hyperlink ref="S772" r:id="rId965" xr:uid="{00000000-0004-0000-0200-0000C4030000}"/>
    <hyperlink ref="F773" r:id="rId966" xr:uid="{00000000-0004-0000-0200-0000C5030000}"/>
    <hyperlink ref="S773" r:id="rId967" xr:uid="{00000000-0004-0000-0200-0000C6030000}"/>
    <hyperlink ref="F774" r:id="rId968" xr:uid="{00000000-0004-0000-0200-0000C7030000}"/>
    <hyperlink ref="F775" r:id="rId969" xr:uid="{00000000-0004-0000-0200-0000C8030000}"/>
    <hyperlink ref="S775" r:id="rId970" xr:uid="{00000000-0004-0000-0200-0000C9030000}"/>
    <hyperlink ref="F776" r:id="rId971" xr:uid="{00000000-0004-0000-0200-0000CA030000}"/>
    <hyperlink ref="F777" r:id="rId972" xr:uid="{00000000-0004-0000-0200-0000CB030000}"/>
    <hyperlink ref="F778" r:id="rId973" xr:uid="{00000000-0004-0000-0200-0000CC030000}"/>
    <hyperlink ref="S778" r:id="rId974" xr:uid="{00000000-0004-0000-0200-0000CD030000}"/>
    <hyperlink ref="F780" r:id="rId975" xr:uid="{00000000-0004-0000-0200-0000CE030000}"/>
    <hyperlink ref="G780" r:id="rId976" xr:uid="{00000000-0004-0000-0200-0000CF030000}"/>
    <hyperlink ref="F781" r:id="rId977" xr:uid="{00000000-0004-0000-0200-0000D0030000}"/>
    <hyperlink ref="F782" r:id="rId978" xr:uid="{00000000-0004-0000-0200-0000D1030000}"/>
    <hyperlink ref="F783" r:id="rId979" xr:uid="{00000000-0004-0000-0200-0000D2030000}"/>
    <hyperlink ref="F784" r:id="rId980" xr:uid="{00000000-0004-0000-0200-0000D3030000}"/>
    <hyperlink ref="F785" r:id="rId981" xr:uid="{00000000-0004-0000-0200-0000D4030000}"/>
    <hyperlink ref="S785" r:id="rId982" xr:uid="{00000000-0004-0000-0200-0000D5030000}"/>
    <hyperlink ref="F786" r:id="rId983" xr:uid="{00000000-0004-0000-0200-0000D6030000}"/>
    <hyperlink ref="F787" r:id="rId984" xr:uid="{00000000-0004-0000-0200-0000D7030000}"/>
    <hyperlink ref="S788" r:id="rId985" xr:uid="{00000000-0004-0000-0200-0000D8030000}"/>
    <hyperlink ref="F789" r:id="rId986" xr:uid="{00000000-0004-0000-0200-0000D9030000}"/>
    <hyperlink ref="F790" r:id="rId987" xr:uid="{00000000-0004-0000-0200-0000DA030000}"/>
    <hyperlink ref="G791" r:id="rId988" xr:uid="{00000000-0004-0000-0200-0000DB030000}"/>
    <hyperlink ref="G792" r:id="rId989" xr:uid="{00000000-0004-0000-0200-0000DC030000}"/>
    <hyperlink ref="S793" r:id="rId990" xr:uid="{00000000-0004-0000-0200-0000DD030000}"/>
    <hyperlink ref="G794" r:id="rId991" xr:uid="{00000000-0004-0000-0200-0000DE030000}"/>
    <hyperlink ref="S794" r:id="rId992" xr:uid="{00000000-0004-0000-0200-0000DF030000}"/>
    <hyperlink ref="F795" r:id="rId993" xr:uid="{00000000-0004-0000-0200-0000E0030000}"/>
    <hyperlink ref="G795" r:id="rId994" xr:uid="{00000000-0004-0000-0200-0000E1030000}"/>
    <hyperlink ref="S795" r:id="rId995" xr:uid="{00000000-0004-0000-0200-0000E2030000}"/>
    <hyperlink ref="F796" r:id="rId996" xr:uid="{00000000-0004-0000-0200-0000E3030000}"/>
    <hyperlink ref="F797" r:id="rId997" xr:uid="{00000000-0004-0000-0200-0000E4030000}"/>
    <hyperlink ref="S797" r:id="rId998" xr:uid="{00000000-0004-0000-0200-0000E5030000}"/>
    <hyperlink ref="F798" r:id="rId999" xr:uid="{00000000-0004-0000-0200-0000E6030000}"/>
    <hyperlink ref="F799" r:id="rId1000" xr:uid="{00000000-0004-0000-0200-0000E7030000}"/>
    <hyperlink ref="S799" r:id="rId1001" xr:uid="{00000000-0004-0000-0200-0000E8030000}"/>
    <hyperlink ref="F800" r:id="rId1002" xr:uid="{00000000-0004-0000-0200-0000E9030000}"/>
    <hyperlink ref="S800" r:id="rId1003" xr:uid="{00000000-0004-0000-0200-0000EA030000}"/>
    <hyperlink ref="F801" r:id="rId1004" xr:uid="{00000000-0004-0000-0200-0000EB030000}"/>
    <hyperlink ref="S801" r:id="rId1005" xr:uid="{00000000-0004-0000-0200-0000EC030000}"/>
    <hyperlink ref="F802" r:id="rId1006" xr:uid="{00000000-0004-0000-0200-0000ED030000}"/>
    <hyperlink ref="S802" r:id="rId1007" xr:uid="{00000000-0004-0000-0200-0000EE030000}"/>
    <hyperlink ref="F804" r:id="rId1008" xr:uid="{00000000-0004-0000-0200-0000EF030000}"/>
    <hyperlink ref="F805" r:id="rId1009" xr:uid="{00000000-0004-0000-0200-0000F0030000}"/>
    <hyperlink ref="S805" r:id="rId1010" xr:uid="{00000000-0004-0000-0200-0000F1030000}"/>
    <hyperlink ref="F807" r:id="rId1011" xr:uid="{00000000-0004-0000-0200-0000F2030000}"/>
    <hyperlink ref="S807" r:id="rId1012" xr:uid="{00000000-0004-0000-0200-0000F3030000}"/>
    <hyperlink ref="F808" r:id="rId1013" xr:uid="{00000000-0004-0000-0200-0000F4030000}"/>
    <hyperlink ref="S808" r:id="rId1014" xr:uid="{00000000-0004-0000-0200-0000F5030000}"/>
    <hyperlink ref="F809" r:id="rId1015" location=".XAqx9JS58cs.twitter" xr:uid="{00000000-0004-0000-0200-0000F6030000}"/>
    <hyperlink ref="F810" r:id="rId1016" xr:uid="{00000000-0004-0000-0200-0000F7030000}"/>
    <hyperlink ref="G810" r:id="rId1017" xr:uid="{00000000-0004-0000-0200-0000F8030000}"/>
    <hyperlink ref="S810" r:id="rId1018" xr:uid="{00000000-0004-0000-0200-0000F9030000}"/>
    <hyperlink ref="F813" r:id="rId1019" xr:uid="{00000000-0004-0000-0200-0000FA030000}"/>
    <hyperlink ref="F814" r:id="rId1020" xr:uid="{00000000-0004-0000-0200-0000FB030000}"/>
    <hyperlink ref="G814" r:id="rId1021" xr:uid="{00000000-0004-0000-0200-0000FC030000}"/>
    <hyperlink ref="S814" r:id="rId1022" xr:uid="{00000000-0004-0000-0200-0000FD030000}"/>
    <hyperlink ref="F815" r:id="rId1023" xr:uid="{00000000-0004-0000-0200-0000FE030000}"/>
    <hyperlink ref="F816" r:id="rId1024" xr:uid="{00000000-0004-0000-0200-0000FF030000}"/>
    <hyperlink ref="S817" r:id="rId1025" xr:uid="{00000000-0004-0000-0200-000000040000}"/>
    <hyperlink ref="F818" r:id="rId1026" xr:uid="{00000000-0004-0000-0200-000001040000}"/>
    <hyperlink ref="S818" r:id="rId1027" xr:uid="{00000000-0004-0000-0200-000002040000}"/>
    <hyperlink ref="F819" r:id="rId1028" xr:uid="{00000000-0004-0000-0200-000003040000}"/>
    <hyperlink ref="F820" r:id="rId1029" xr:uid="{00000000-0004-0000-0200-000004040000}"/>
    <hyperlink ref="G820" r:id="rId1030" xr:uid="{00000000-0004-0000-0200-000005040000}"/>
    <hyperlink ref="S820" r:id="rId1031" xr:uid="{00000000-0004-0000-0200-000006040000}"/>
    <hyperlink ref="F821" r:id="rId1032" xr:uid="{00000000-0004-0000-0200-000007040000}"/>
    <hyperlink ref="S821" r:id="rId1033" xr:uid="{00000000-0004-0000-0200-000008040000}"/>
    <hyperlink ref="F822" r:id="rId1034" location=".XAqvCoOs6bM.twitter" xr:uid="{00000000-0004-0000-0200-000009040000}"/>
    <hyperlink ref="S822" r:id="rId1035" xr:uid="{00000000-0004-0000-0200-00000A040000}"/>
    <hyperlink ref="F823" r:id="rId1036" xr:uid="{00000000-0004-0000-0200-00000B040000}"/>
    <hyperlink ref="G824" r:id="rId1037" xr:uid="{00000000-0004-0000-0200-00000C040000}"/>
    <hyperlink ref="S824" r:id="rId1038" xr:uid="{00000000-0004-0000-0200-00000D040000}"/>
    <hyperlink ref="G825" r:id="rId1039" xr:uid="{00000000-0004-0000-0200-00000E040000}"/>
    <hyperlink ref="S825" r:id="rId1040" xr:uid="{00000000-0004-0000-0200-00000F040000}"/>
    <hyperlink ref="F826" r:id="rId1041" xr:uid="{00000000-0004-0000-0200-000010040000}"/>
    <hyperlink ref="F827" r:id="rId1042" xr:uid="{00000000-0004-0000-0200-000011040000}"/>
    <hyperlink ref="S827" r:id="rId1043" xr:uid="{00000000-0004-0000-0200-000012040000}"/>
    <hyperlink ref="F828" r:id="rId1044" xr:uid="{00000000-0004-0000-0200-000013040000}"/>
    <hyperlink ref="S828" r:id="rId1045" xr:uid="{00000000-0004-0000-0200-000014040000}"/>
    <hyperlink ref="F829" r:id="rId1046" location="Echobox=1544181414" xr:uid="{00000000-0004-0000-0200-000015040000}"/>
    <hyperlink ref="S829" r:id="rId1047" xr:uid="{00000000-0004-0000-0200-000016040000}"/>
    <hyperlink ref="S831" r:id="rId1048" xr:uid="{00000000-0004-0000-0200-000017040000}"/>
    <hyperlink ref="F832" r:id="rId1049" xr:uid="{00000000-0004-0000-0200-000018040000}"/>
    <hyperlink ref="G832" r:id="rId1050" xr:uid="{00000000-0004-0000-0200-000019040000}"/>
    <hyperlink ref="F834" r:id="rId1051" xr:uid="{00000000-0004-0000-0200-00001A040000}"/>
    <hyperlink ref="G834" r:id="rId1052" xr:uid="{00000000-0004-0000-0200-00001B040000}"/>
    <hyperlink ref="F835" r:id="rId1053" xr:uid="{00000000-0004-0000-0200-00001C040000}"/>
    <hyperlink ref="F836" r:id="rId1054" xr:uid="{00000000-0004-0000-0200-00001D040000}"/>
    <hyperlink ref="F837" r:id="rId1055" xr:uid="{00000000-0004-0000-0200-00001E040000}"/>
    <hyperlink ref="F839" r:id="rId1056" xr:uid="{00000000-0004-0000-0200-00001F040000}"/>
    <hyperlink ref="S839" r:id="rId1057" xr:uid="{00000000-0004-0000-0200-000020040000}"/>
    <hyperlink ref="F840" r:id="rId1058" xr:uid="{00000000-0004-0000-0200-000021040000}"/>
    <hyperlink ref="F841" r:id="rId1059" xr:uid="{00000000-0004-0000-0200-000022040000}"/>
    <hyperlink ref="S841" r:id="rId1060" xr:uid="{00000000-0004-0000-0200-000023040000}"/>
    <hyperlink ref="F843" r:id="rId1061" xr:uid="{00000000-0004-0000-0200-000024040000}"/>
    <hyperlink ref="F844" r:id="rId1062" xr:uid="{00000000-0004-0000-0200-000025040000}"/>
    <hyperlink ref="G844" r:id="rId1063" xr:uid="{00000000-0004-0000-0200-000026040000}"/>
    <hyperlink ref="S844" r:id="rId1064" xr:uid="{00000000-0004-0000-0200-000027040000}"/>
    <hyperlink ref="G845" r:id="rId1065" xr:uid="{00000000-0004-0000-0200-000028040000}"/>
    <hyperlink ref="S845" r:id="rId1066" xr:uid="{00000000-0004-0000-0200-000029040000}"/>
    <hyperlink ref="F846" r:id="rId1067" xr:uid="{00000000-0004-0000-0200-00002A040000}"/>
    <hyperlink ref="S846" r:id="rId1068" xr:uid="{00000000-0004-0000-0200-00002B040000}"/>
    <hyperlink ref="G847" r:id="rId1069" xr:uid="{00000000-0004-0000-0200-00002C040000}"/>
    <hyperlink ref="S847" r:id="rId1070" xr:uid="{00000000-0004-0000-0200-00002D040000}"/>
    <hyperlink ref="F848" r:id="rId1071" xr:uid="{00000000-0004-0000-0200-00002E040000}"/>
    <hyperlink ref="G848" r:id="rId1072" xr:uid="{00000000-0004-0000-0200-00002F040000}"/>
    <hyperlink ref="S848" r:id="rId1073" xr:uid="{00000000-0004-0000-0200-000030040000}"/>
    <hyperlink ref="F849" r:id="rId1074" xr:uid="{00000000-0004-0000-0200-000031040000}"/>
    <hyperlink ref="S850" r:id="rId1075" xr:uid="{00000000-0004-0000-0200-000032040000}"/>
    <hyperlink ref="F851" r:id="rId1076" xr:uid="{00000000-0004-0000-0200-000033040000}"/>
    <hyperlink ref="S851" r:id="rId1077" xr:uid="{00000000-0004-0000-0200-000034040000}"/>
    <hyperlink ref="F852" r:id="rId1078" location=".XAqlqToo6xk.twitter" xr:uid="{00000000-0004-0000-0200-000035040000}"/>
    <hyperlink ref="F853" r:id="rId1079" location="referrer=https%3A%2F%2Fwww.google.com&amp;amp_tf=De%20%251%24s&amp;ampshare=https%3A%2F%2Fokdiario.com%2Feconomia%2Fempleo%2F2018%2F12%2F07%2Fguino-del-gobierno-autonomo-plan-empleo-joven-premia-bonificaciones-contratacion-cuenta-propia-3438794" xr:uid="{00000000-0004-0000-0200-000036040000}"/>
    <hyperlink ref="F854" r:id="rId1080" xr:uid="{00000000-0004-0000-0200-000037040000}"/>
    <hyperlink ref="S855" r:id="rId1081" xr:uid="{00000000-0004-0000-0200-000038040000}"/>
    <hyperlink ref="F856" r:id="rId1082" xr:uid="{00000000-0004-0000-0200-000039040000}"/>
    <hyperlink ref="S856" r:id="rId1083" xr:uid="{00000000-0004-0000-0200-00003A040000}"/>
    <hyperlink ref="G857" r:id="rId1084" xr:uid="{00000000-0004-0000-0200-00003B040000}"/>
    <hyperlink ref="F858" r:id="rId1085" xr:uid="{00000000-0004-0000-0200-00003C040000}"/>
    <hyperlink ref="F859" r:id="rId1086" xr:uid="{00000000-0004-0000-0200-00003D040000}"/>
    <hyperlink ref="F860" r:id="rId1087" xr:uid="{00000000-0004-0000-0200-00003E040000}"/>
    <hyperlink ref="F861" r:id="rId1088" location=".XAqjNaN66i8.twitter" xr:uid="{00000000-0004-0000-0200-00003F040000}"/>
    <hyperlink ref="S861" r:id="rId1089" xr:uid="{00000000-0004-0000-0200-000040040000}"/>
    <hyperlink ref="F862" r:id="rId1090" xr:uid="{00000000-0004-0000-0200-000041040000}"/>
    <hyperlink ref="F863" r:id="rId1091" xr:uid="{00000000-0004-0000-0200-000042040000}"/>
    <hyperlink ref="G863" r:id="rId1092" xr:uid="{00000000-0004-0000-0200-000043040000}"/>
    <hyperlink ref="S863" r:id="rId1093" xr:uid="{00000000-0004-0000-0200-000044040000}"/>
    <hyperlink ref="G865" r:id="rId1094" xr:uid="{00000000-0004-0000-0200-000045040000}"/>
    <hyperlink ref="F866" r:id="rId1095" xr:uid="{00000000-0004-0000-0200-000046040000}"/>
    <hyperlink ref="G866" r:id="rId1096" xr:uid="{00000000-0004-0000-0200-000047040000}"/>
    <hyperlink ref="S866" r:id="rId1097" xr:uid="{00000000-0004-0000-0200-000048040000}"/>
    <hyperlink ref="C867" r:id="rId1098" xr:uid="{00000000-0004-0000-0200-000049040000}"/>
    <hyperlink ref="F867" r:id="rId1099" xr:uid="{00000000-0004-0000-0200-00004A040000}"/>
    <hyperlink ref="G867" r:id="rId1100" xr:uid="{00000000-0004-0000-0200-00004B040000}"/>
    <hyperlink ref="S867" r:id="rId1101" xr:uid="{00000000-0004-0000-0200-00004C040000}"/>
    <hyperlink ref="F868" r:id="rId1102" xr:uid="{00000000-0004-0000-0200-00004D040000}"/>
    <hyperlink ref="F870" r:id="rId1103" xr:uid="{00000000-0004-0000-0200-00004E040000}"/>
    <hyperlink ref="S870" r:id="rId1104" xr:uid="{00000000-0004-0000-0200-00004F040000}"/>
    <hyperlink ref="F871" r:id="rId1105" xr:uid="{00000000-0004-0000-0200-000050040000}"/>
    <hyperlink ref="S871" r:id="rId1106" xr:uid="{00000000-0004-0000-0200-000051040000}"/>
    <hyperlink ref="F872" r:id="rId1107" xr:uid="{00000000-0004-0000-0200-000052040000}"/>
    <hyperlink ref="G872" r:id="rId1108" xr:uid="{00000000-0004-0000-0200-000053040000}"/>
    <hyperlink ref="S872" r:id="rId1109" xr:uid="{00000000-0004-0000-0200-000054040000}"/>
    <hyperlink ref="F874" r:id="rId1110" xr:uid="{00000000-0004-0000-0200-000055040000}"/>
    <hyperlink ref="C875" r:id="rId1111" xr:uid="{00000000-0004-0000-0200-000056040000}"/>
    <hyperlink ref="F875" r:id="rId1112" xr:uid="{00000000-0004-0000-0200-000057040000}"/>
    <hyperlink ref="F876" r:id="rId1113" xr:uid="{00000000-0004-0000-0200-000058040000}"/>
    <hyperlink ref="S876" r:id="rId1114" xr:uid="{00000000-0004-0000-0200-000059040000}"/>
    <hyperlink ref="F877" r:id="rId1115" xr:uid="{00000000-0004-0000-0200-00005A040000}"/>
    <hyperlink ref="G877" r:id="rId1116" xr:uid="{00000000-0004-0000-0200-00005B040000}"/>
    <hyperlink ref="S877" r:id="rId1117" xr:uid="{00000000-0004-0000-0200-00005C040000}"/>
    <hyperlink ref="F879" r:id="rId1118" xr:uid="{00000000-0004-0000-0200-00005D040000}"/>
    <hyperlink ref="F880" r:id="rId1119" xr:uid="{00000000-0004-0000-0200-00005E040000}"/>
    <hyperlink ref="S880" r:id="rId1120" xr:uid="{00000000-0004-0000-0200-00005F040000}"/>
    <hyperlink ref="G883" r:id="rId1121" xr:uid="{00000000-0004-0000-0200-000060040000}"/>
    <hyperlink ref="F884" r:id="rId1122" xr:uid="{00000000-0004-0000-0200-000061040000}"/>
    <hyperlink ref="F885" r:id="rId1123" xr:uid="{00000000-0004-0000-0200-000062040000}"/>
    <hyperlink ref="G886" r:id="rId1124" xr:uid="{00000000-0004-0000-0200-000063040000}"/>
    <hyperlink ref="S887" r:id="rId1125" xr:uid="{00000000-0004-0000-0200-000064040000}"/>
    <hyperlink ref="F888" r:id="rId1126" xr:uid="{00000000-0004-0000-0200-000065040000}"/>
    <hyperlink ref="S889" r:id="rId1127" xr:uid="{00000000-0004-0000-0200-000066040000}"/>
    <hyperlink ref="F890" r:id="rId1128" xr:uid="{00000000-0004-0000-0200-000067040000}"/>
    <hyperlink ref="S890" r:id="rId1129" xr:uid="{00000000-0004-0000-0200-000068040000}"/>
    <hyperlink ref="F891" r:id="rId1130" xr:uid="{00000000-0004-0000-0200-000069040000}"/>
    <hyperlink ref="S891" r:id="rId1131" xr:uid="{00000000-0004-0000-0200-00006A040000}"/>
    <hyperlink ref="F893" r:id="rId1132" xr:uid="{00000000-0004-0000-0200-00006B040000}"/>
    <hyperlink ref="F894" r:id="rId1133" xr:uid="{00000000-0004-0000-0200-00006C040000}"/>
    <hyperlink ref="F895" r:id="rId1134" xr:uid="{00000000-0004-0000-0200-00006D040000}"/>
    <hyperlink ref="G896" r:id="rId1135" xr:uid="{00000000-0004-0000-0200-00006E040000}"/>
    <hyperlink ref="S896" r:id="rId1136" xr:uid="{00000000-0004-0000-0200-00006F040000}"/>
    <hyperlink ref="F897" r:id="rId1137" xr:uid="{00000000-0004-0000-0200-000070040000}"/>
    <hyperlink ref="S897" r:id="rId1138" xr:uid="{00000000-0004-0000-0200-000071040000}"/>
    <hyperlink ref="F898" r:id="rId1139" xr:uid="{00000000-0004-0000-0200-000072040000}"/>
    <hyperlink ref="F899" r:id="rId1140" xr:uid="{00000000-0004-0000-0200-000073040000}"/>
    <hyperlink ref="C900" r:id="rId1141" xr:uid="{00000000-0004-0000-0200-000074040000}"/>
    <hyperlink ref="F900" r:id="rId1142" xr:uid="{00000000-0004-0000-0200-000075040000}"/>
    <hyperlink ref="G900" r:id="rId1143" xr:uid="{00000000-0004-0000-0200-000076040000}"/>
    <hyperlink ref="S900" r:id="rId1144" xr:uid="{00000000-0004-0000-0200-000077040000}"/>
    <hyperlink ref="F902" r:id="rId1145" xr:uid="{00000000-0004-0000-0200-000078040000}"/>
    <hyperlink ref="F903" r:id="rId1146" xr:uid="{00000000-0004-0000-0200-000079040000}"/>
    <hyperlink ref="F904" r:id="rId1147" xr:uid="{00000000-0004-0000-0200-00007A040000}"/>
    <hyperlink ref="S904" r:id="rId1148" xr:uid="{00000000-0004-0000-0200-00007B040000}"/>
    <hyperlink ref="F905" r:id="rId1149" xr:uid="{00000000-0004-0000-0200-00007C040000}"/>
    <hyperlink ref="G905" r:id="rId1150" xr:uid="{00000000-0004-0000-0200-00007D040000}"/>
    <hyperlink ref="S905" r:id="rId1151" xr:uid="{00000000-0004-0000-0200-00007E040000}"/>
    <hyperlink ref="F906" r:id="rId1152" xr:uid="{00000000-0004-0000-0200-00007F040000}"/>
    <hyperlink ref="G906" r:id="rId1153" xr:uid="{00000000-0004-0000-0200-000080040000}"/>
    <hyperlink ref="S906" r:id="rId1154" xr:uid="{00000000-0004-0000-0200-000081040000}"/>
    <hyperlink ref="S907" r:id="rId1155" xr:uid="{00000000-0004-0000-0200-000082040000}"/>
    <hyperlink ref="F908" r:id="rId1156" xr:uid="{00000000-0004-0000-0200-000083040000}"/>
    <hyperlink ref="F909" r:id="rId1157" xr:uid="{00000000-0004-0000-0200-000084040000}"/>
    <hyperlink ref="G909" r:id="rId1158" xr:uid="{00000000-0004-0000-0200-000085040000}"/>
    <hyperlink ref="F910" r:id="rId1159" xr:uid="{00000000-0004-0000-0200-000086040000}"/>
    <hyperlink ref="F911" r:id="rId1160" xr:uid="{00000000-0004-0000-0200-000087040000}"/>
    <hyperlink ref="S911" r:id="rId1161" xr:uid="{00000000-0004-0000-0200-000088040000}"/>
    <hyperlink ref="F912" r:id="rId1162" xr:uid="{00000000-0004-0000-0200-000089040000}"/>
    <hyperlink ref="G912" r:id="rId1163" xr:uid="{00000000-0004-0000-0200-00008A040000}"/>
    <hyperlink ref="F913" r:id="rId1164" xr:uid="{00000000-0004-0000-0200-00008B040000}"/>
    <hyperlink ref="F915" r:id="rId1165" xr:uid="{00000000-0004-0000-0200-00008C040000}"/>
    <hyperlink ref="S915" r:id="rId1166" xr:uid="{00000000-0004-0000-0200-00008D040000}"/>
    <hyperlink ref="F916" r:id="rId1167" xr:uid="{00000000-0004-0000-0200-00008E040000}"/>
    <hyperlink ref="G916" r:id="rId1168" xr:uid="{00000000-0004-0000-0200-00008F040000}"/>
    <hyperlink ref="S916" r:id="rId1169" xr:uid="{00000000-0004-0000-0200-000090040000}"/>
    <hyperlink ref="G917" r:id="rId1170" xr:uid="{00000000-0004-0000-0200-000091040000}"/>
    <hyperlink ref="F918" r:id="rId1171" xr:uid="{00000000-0004-0000-0200-000092040000}"/>
    <hyperlink ref="F919" r:id="rId1172" xr:uid="{00000000-0004-0000-0200-000093040000}"/>
    <hyperlink ref="F920" r:id="rId1173" xr:uid="{00000000-0004-0000-0200-000094040000}"/>
    <hyperlink ref="F921" r:id="rId1174" xr:uid="{00000000-0004-0000-0200-000095040000}"/>
    <hyperlink ref="F922" r:id="rId1175" xr:uid="{00000000-0004-0000-0200-000096040000}"/>
    <hyperlink ref="F923" r:id="rId1176" xr:uid="{00000000-0004-0000-0200-000097040000}"/>
    <hyperlink ref="S923" r:id="rId1177" xr:uid="{00000000-0004-0000-0200-000098040000}"/>
    <hyperlink ref="F924" r:id="rId1178" xr:uid="{00000000-0004-0000-0200-000099040000}"/>
    <hyperlink ref="F925" r:id="rId1179" xr:uid="{00000000-0004-0000-0200-00009A040000}"/>
    <hyperlink ref="G925" r:id="rId1180" xr:uid="{00000000-0004-0000-0200-00009B040000}"/>
    <hyperlink ref="S925" r:id="rId1181" xr:uid="{00000000-0004-0000-0200-00009C040000}"/>
    <hyperlink ref="F926" r:id="rId1182" xr:uid="{00000000-0004-0000-0200-00009D040000}"/>
    <hyperlink ref="S926" r:id="rId1183" xr:uid="{00000000-0004-0000-0200-00009E040000}"/>
    <hyperlink ref="F928" r:id="rId1184" xr:uid="{00000000-0004-0000-0200-00009F040000}"/>
    <hyperlink ref="G929" r:id="rId1185" xr:uid="{00000000-0004-0000-0200-0000A0040000}"/>
    <hyperlink ref="F930" r:id="rId1186" xr:uid="{00000000-0004-0000-0200-0000A1040000}"/>
    <hyperlink ref="F931" r:id="rId1187" location="ns_campaign=rrss&amp;ns_mchannel=abc-es&amp;ns_source=tw&amp;ns_linkname=cm-general&amp;ns_fee=0" xr:uid="{00000000-0004-0000-0200-0000A2040000}"/>
    <hyperlink ref="G931" r:id="rId1188" xr:uid="{00000000-0004-0000-0200-0000A3040000}"/>
    <hyperlink ref="F932" r:id="rId1189" xr:uid="{00000000-0004-0000-0200-0000A4040000}"/>
    <hyperlink ref="S932" r:id="rId1190" xr:uid="{00000000-0004-0000-0200-0000A5040000}"/>
    <hyperlink ref="F933" r:id="rId1191" xr:uid="{00000000-0004-0000-0200-0000A6040000}"/>
    <hyperlink ref="F934" r:id="rId1192" xr:uid="{00000000-0004-0000-0200-0000A7040000}"/>
    <hyperlink ref="G934" r:id="rId1193" xr:uid="{00000000-0004-0000-0200-0000A8040000}"/>
    <hyperlink ref="S934" r:id="rId1194" xr:uid="{00000000-0004-0000-0200-0000A9040000}"/>
    <hyperlink ref="F935" r:id="rId1195" xr:uid="{00000000-0004-0000-0200-0000AA040000}"/>
    <hyperlink ref="G935" r:id="rId1196" xr:uid="{00000000-0004-0000-0200-0000AB040000}"/>
    <hyperlink ref="S935" r:id="rId1197" xr:uid="{00000000-0004-0000-0200-0000AC040000}"/>
    <hyperlink ref="F936" r:id="rId1198" xr:uid="{00000000-0004-0000-0200-0000AD040000}"/>
    <hyperlink ref="S936" r:id="rId1199" xr:uid="{00000000-0004-0000-0200-0000AE040000}"/>
    <hyperlink ref="F937" r:id="rId1200" location="ns_campaign=rrss-inducido&amp;ns_mchann" xr:uid="{00000000-0004-0000-0200-0000AF040000}"/>
    <hyperlink ref="F938" r:id="rId1201" xr:uid="{00000000-0004-0000-0200-0000B0040000}"/>
    <hyperlink ref="S938" r:id="rId1202" xr:uid="{00000000-0004-0000-0200-0000B1040000}"/>
    <hyperlink ref="F939" r:id="rId1203" xr:uid="{00000000-0004-0000-0200-0000B2040000}"/>
    <hyperlink ref="S939" r:id="rId1204" xr:uid="{00000000-0004-0000-0200-0000B3040000}"/>
    <hyperlink ref="F941" r:id="rId1205" xr:uid="{00000000-0004-0000-0200-0000B4040000}"/>
    <hyperlink ref="S941" r:id="rId1206" xr:uid="{00000000-0004-0000-0200-0000B5040000}"/>
    <hyperlink ref="F942" r:id="rId1207" xr:uid="{00000000-0004-0000-0200-0000B6040000}"/>
    <hyperlink ref="S942" r:id="rId1208" xr:uid="{00000000-0004-0000-0200-0000B7040000}"/>
    <hyperlink ref="F944" r:id="rId1209" xr:uid="{00000000-0004-0000-0200-0000B8040000}"/>
    <hyperlink ref="S944" r:id="rId1210" xr:uid="{00000000-0004-0000-0200-0000B9040000}"/>
    <hyperlink ref="F945" r:id="rId1211" xr:uid="{00000000-0004-0000-0200-0000BA040000}"/>
    <hyperlink ref="F946" r:id="rId1212" xr:uid="{00000000-0004-0000-0200-0000BB040000}"/>
    <hyperlink ref="G946" r:id="rId1213" xr:uid="{00000000-0004-0000-0200-0000BC040000}"/>
    <hyperlink ref="S946" r:id="rId1214" xr:uid="{00000000-0004-0000-0200-0000BD040000}"/>
    <hyperlink ref="G947" r:id="rId1215" xr:uid="{00000000-0004-0000-0200-0000BE040000}"/>
    <hyperlink ref="F948" r:id="rId1216" xr:uid="{00000000-0004-0000-0200-0000BF040000}"/>
    <hyperlink ref="F949" r:id="rId1217" xr:uid="{00000000-0004-0000-0200-0000C0040000}"/>
    <hyperlink ref="S949" r:id="rId1218" xr:uid="{00000000-0004-0000-0200-0000C1040000}"/>
    <hyperlink ref="G950" r:id="rId1219" xr:uid="{00000000-0004-0000-0200-0000C2040000}"/>
    <hyperlink ref="F951" r:id="rId1220" xr:uid="{00000000-0004-0000-0200-0000C3040000}"/>
    <hyperlink ref="S951" r:id="rId1221" xr:uid="{00000000-0004-0000-0200-0000C4040000}"/>
    <hyperlink ref="F952" r:id="rId1222" xr:uid="{00000000-0004-0000-0200-0000C5040000}"/>
    <hyperlink ref="F955" r:id="rId1223" xr:uid="{00000000-0004-0000-0200-0000C6040000}"/>
    <hyperlink ref="C956" r:id="rId1224" xr:uid="{00000000-0004-0000-0200-0000C7040000}"/>
    <hyperlink ref="F956" r:id="rId1225" xr:uid="{00000000-0004-0000-0200-0000C8040000}"/>
    <hyperlink ref="S956" r:id="rId1226" xr:uid="{00000000-0004-0000-0200-0000C9040000}"/>
    <hyperlink ref="F957" r:id="rId1227" xr:uid="{00000000-0004-0000-0200-0000CA040000}"/>
    <hyperlink ref="G957" r:id="rId1228" xr:uid="{00000000-0004-0000-0200-0000CB040000}"/>
    <hyperlink ref="F958" r:id="rId1229" location=".XAqK2KKZZwQ.twitter" xr:uid="{00000000-0004-0000-0200-0000CC040000}"/>
    <hyperlink ref="F959" r:id="rId1230" location="more-4082" xr:uid="{00000000-0004-0000-0200-0000CD040000}"/>
    <hyperlink ref="F961" r:id="rId1231" xr:uid="{00000000-0004-0000-0200-0000CE040000}"/>
    <hyperlink ref="G961" r:id="rId1232" xr:uid="{00000000-0004-0000-0200-0000CF040000}"/>
    <hyperlink ref="F962" r:id="rId1233" xr:uid="{00000000-0004-0000-0200-0000D0040000}"/>
    <hyperlink ref="G962" r:id="rId1234" xr:uid="{00000000-0004-0000-0200-0000D1040000}"/>
    <hyperlink ref="S962" r:id="rId1235" xr:uid="{00000000-0004-0000-0200-0000D2040000}"/>
    <hyperlink ref="F963" r:id="rId1236" xr:uid="{00000000-0004-0000-0200-0000D3040000}"/>
    <hyperlink ref="G963" r:id="rId1237" xr:uid="{00000000-0004-0000-0200-0000D4040000}"/>
    <hyperlink ref="S963" r:id="rId1238" xr:uid="{00000000-0004-0000-0200-0000D5040000}"/>
    <hyperlink ref="F964" r:id="rId1239" xr:uid="{00000000-0004-0000-0200-0000D6040000}"/>
    <hyperlink ref="F965" r:id="rId1240" xr:uid="{00000000-0004-0000-0200-0000D7040000}"/>
    <hyperlink ref="F966" r:id="rId1241" xr:uid="{00000000-0004-0000-0200-0000D8040000}"/>
    <hyperlink ref="S966" r:id="rId1242" xr:uid="{00000000-0004-0000-0200-0000D9040000}"/>
    <hyperlink ref="F967" r:id="rId1243" xr:uid="{00000000-0004-0000-0200-0000DA040000}"/>
    <hyperlink ref="S967" r:id="rId1244" xr:uid="{00000000-0004-0000-0200-0000DB040000}"/>
    <hyperlink ref="F968" r:id="rId1245" xr:uid="{00000000-0004-0000-0200-0000DC040000}"/>
    <hyperlink ref="G970" r:id="rId1246" xr:uid="{00000000-0004-0000-0200-0000DD040000}"/>
    <hyperlink ref="S970" r:id="rId1247" xr:uid="{00000000-0004-0000-0200-0000DE040000}"/>
    <hyperlink ref="F971" r:id="rId1248" xr:uid="{00000000-0004-0000-0200-0000DF040000}"/>
    <hyperlink ref="G971" r:id="rId1249" xr:uid="{00000000-0004-0000-0200-0000E0040000}"/>
    <hyperlink ref="F972" r:id="rId1250" xr:uid="{00000000-0004-0000-0200-0000E1040000}"/>
    <hyperlink ref="G972" r:id="rId1251" xr:uid="{00000000-0004-0000-0200-0000E2040000}"/>
    <hyperlink ref="S972" r:id="rId1252" xr:uid="{00000000-0004-0000-0200-0000E3040000}"/>
    <hyperlink ref="F973" r:id="rId1253" xr:uid="{00000000-0004-0000-0200-0000E4040000}"/>
    <hyperlink ref="G973" r:id="rId1254" xr:uid="{00000000-0004-0000-0200-0000E5040000}"/>
    <hyperlink ref="S973" r:id="rId1255" xr:uid="{00000000-0004-0000-0200-0000E6040000}"/>
    <hyperlink ref="F974" r:id="rId1256" xr:uid="{00000000-0004-0000-0200-0000E7040000}"/>
    <hyperlink ref="G974" r:id="rId1257" xr:uid="{00000000-0004-0000-0200-0000E8040000}"/>
    <hyperlink ref="S974" r:id="rId1258" xr:uid="{00000000-0004-0000-0200-0000E9040000}"/>
    <hyperlink ref="C975" r:id="rId1259" xr:uid="{00000000-0004-0000-0200-0000EA040000}"/>
    <hyperlink ref="F975" r:id="rId1260" xr:uid="{00000000-0004-0000-0200-0000EB040000}"/>
    <hyperlink ref="S975" r:id="rId1261" xr:uid="{00000000-0004-0000-0200-0000EC040000}"/>
    <hyperlink ref="F976" r:id="rId1262" xr:uid="{00000000-0004-0000-0200-0000ED040000}"/>
    <hyperlink ref="G976" r:id="rId1263" xr:uid="{00000000-0004-0000-0200-0000EE040000}"/>
    <hyperlink ref="S976" r:id="rId1264" xr:uid="{00000000-0004-0000-0200-0000EF040000}"/>
    <hyperlink ref="F977" r:id="rId1265" xr:uid="{00000000-0004-0000-0200-0000F0040000}"/>
    <hyperlink ref="F979" r:id="rId1266" xr:uid="{00000000-0004-0000-0200-0000F1040000}"/>
    <hyperlink ref="F980" r:id="rId1267" xr:uid="{00000000-0004-0000-0200-0000F2040000}"/>
    <hyperlink ref="G980" r:id="rId1268" xr:uid="{00000000-0004-0000-0200-0000F3040000}"/>
    <hyperlink ref="F981" r:id="rId1269" xr:uid="{00000000-0004-0000-0200-0000F4040000}"/>
    <hyperlink ref="G981" r:id="rId1270" xr:uid="{00000000-0004-0000-0200-0000F5040000}"/>
    <hyperlink ref="S981" r:id="rId1271" xr:uid="{00000000-0004-0000-0200-0000F6040000}"/>
    <hyperlink ref="C982" r:id="rId1272" xr:uid="{00000000-0004-0000-0200-0000F7040000}"/>
    <hyperlink ref="F982" r:id="rId1273" xr:uid="{00000000-0004-0000-0200-0000F8040000}"/>
    <hyperlink ref="S982" r:id="rId1274" xr:uid="{00000000-0004-0000-0200-0000F9040000}"/>
    <hyperlink ref="F983" r:id="rId1275" location=".XAqE8GwkkRk.facebook" xr:uid="{00000000-0004-0000-0200-0000FA040000}"/>
    <hyperlink ref="S983" r:id="rId1276" xr:uid="{00000000-0004-0000-0200-0000FB040000}"/>
    <hyperlink ref="F984" r:id="rId1277" xr:uid="{00000000-0004-0000-0200-0000FC040000}"/>
    <hyperlink ref="G984" r:id="rId1278" xr:uid="{00000000-0004-0000-0200-0000FD040000}"/>
    <hyperlink ref="S984" r:id="rId1279" xr:uid="{00000000-0004-0000-0200-0000FE040000}"/>
    <hyperlink ref="G985" r:id="rId1280" xr:uid="{00000000-0004-0000-0200-0000FF040000}"/>
    <hyperlink ref="S985" r:id="rId1281" xr:uid="{00000000-0004-0000-0200-000000050000}"/>
    <hyperlink ref="F986" r:id="rId1282" xr:uid="{00000000-0004-0000-0200-000001050000}"/>
    <hyperlink ref="S986" r:id="rId1283" xr:uid="{00000000-0004-0000-0200-000002050000}"/>
    <hyperlink ref="F987" r:id="rId1284" xr:uid="{00000000-0004-0000-0200-000003050000}"/>
    <hyperlink ref="F988" r:id="rId1285" xr:uid="{00000000-0004-0000-0200-000004050000}"/>
    <hyperlink ref="G988" r:id="rId1286" xr:uid="{00000000-0004-0000-0200-000005050000}"/>
    <hyperlink ref="S988" r:id="rId1287" xr:uid="{00000000-0004-0000-0200-000006050000}"/>
    <hyperlink ref="F989" r:id="rId1288" xr:uid="{00000000-0004-0000-0200-000007050000}"/>
    <hyperlink ref="G989" r:id="rId1289" xr:uid="{00000000-0004-0000-0200-000008050000}"/>
    <hyperlink ref="S990" r:id="rId1290" xr:uid="{00000000-0004-0000-0200-000009050000}"/>
    <hyperlink ref="F991" r:id="rId1291" xr:uid="{00000000-0004-0000-0200-00000A050000}"/>
    <hyperlink ref="S991" r:id="rId1292" xr:uid="{00000000-0004-0000-0200-00000B050000}"/>
    <hyperlink ref="F992" r:id="rId1293" xr:uid="{00000000-0004-0000-0200-00000C050000}"/>
    <hyperlink ref="G992" r:id="rId1294" xr:uid="{00000000-0004-0000-0200-00000D050000}"/>
    <hyperlink ref="F993" r:id="rId1295" xr:uid="{00000000-0004-0000-0200-00000E050000}"/>
    <hyperlink ref="G993" r:id="rId1296" xr:uid="{00000000-0004-0000-0200-00000F050000}"/>
    <hyperlink ref="S993" r:id="rId1297" xr:uid="{00000000-0004-0000-0200-000010050000}"/>
    <hyperlink ref="F994" r:id="rId1298" xr:uid="{00000000-0004-0000-0200-000011050000}"/>
    <hyperlink ref="G994" r:id="rId1299" xr:uid="{00000000-0004-0000-0200-000012050000}"/>
    <hyperlink ref="F997" r:id="rId1300" xr:uid="{00000000-0004-0000-0200-000013050000}"/>
    <hyperlink ref="S997" r:id="rId1301" xr:uid="{00000000-0004-0000-0200-000014050000}"/>
    <hyperlink ref="C998" r:id="rId1302" xr:uid="{00000000-0004-0000-0200-000015050000}"/>
    <hyperlink ref="F998" r:id="rId1303" xr:uid="{00000000-0004-0000-0200-000016050000}"/>
    <hyperlink ref="S998" r:id="rId1304" xr:uid="{00000000-0004-0000-0200-000017050000}"/>
    <hyperlink ref="F999" r:id="rId1305" xr:uid="{00000000-0004-0000-0200-000018050000}"/>
    <hyperlink ref="S999" r:id="rId1306" xr:uid="{00000000-0004-0000-0200-000019050000}"/>
    <hyperlink ref="F1000" r:id="rId1307" xr:uid="{00000000-0004-0000-0200-00001A050000}"/>
    <hyperlink ref="S1000" r:id="rId1308" xr:uid="{00000000-0004-0000-0200-00001B050000}"/>
    <hyperlink ref="C1001" r:id="rId1309" xr:uid="{00000000-0004-0000-0200-00001C050000}"/>
    <hyperlink ref="F1001" r:id="rId1310" xr:uid="{00000000-0004-0000-0200-00001D050000}"/>
    <hyperlink ref="S1001" r:id="rId1311" xr:uid="{00000000-0004-0000-0200-00001E050000}"/>
    <hyperlink ref="F1002" r:id="rId1312" xr:uid="{00000000-0004-0000-0200-00001F050000}"/>
    <hyperlink ref="F1003" r:id="rId1313" xr:uid="{00000000-0004-0000-0200-000020050000}"/>
    <hyperlink ref="G1003" r:id="rId1314" xr:uid="{00000000-0004-0000-0200-000021050000}"/>
    <hyperlink ref="S1003" r:id="rId1315" xr:uid="{00000000-0004-0000-0200-000022050000}"/>
    <hyperlink ref="F1004" r:id="rId1316" xr:uid="{00000000-0004-0000-0200-000023050000}"/>
    <hyperlink ref="S1004" r:id="rId1317" xr:uid="{00000000-0004-0000-0200-000024050000}"/>
    <hyperlink ref="F1005" r:id="rId1318" xr:uid="{00000000-0004-0000-0200-000025050000}"/>
    <hyperlink ref="G1005" r:id="rId1319" xr:uid="{00000000-0004-0000-0200-000026050000}"/>
    <hyperlink ref="S1005" r:id="rId1320" xr:uid="{00000000-0004-0000-0200-000027050000}"/>
    <hyperlink ref="S1007" r:id="rId1321" xr:uid="{00000000-0004-0000-0200-000028050000}"/>
    <hyperlink ref="G1008" r:id="rId1322" xr:uid="{00000000-0004-0000-0200-000029050000}"/>
    <hyperlink ref="F1009" r:id="rId1323" location="Echobox=1544190948" xr:uid="{00000000-0004-0000-0200-00002A050000}"/>
    <hyperlink ref="S1009" r:id="rId1324" xr:uid="{00000000-0004-0000-0200-00002B050000}"/>
    <hyperlink ref="F1010" r:id="rId1325" xr:uid="{00000000-0004-0000-0200-00002C050000}"/>
    <hyperlink ref="F1011" r:id="rId1326" xr:uid="{00000000-0004-0000-0200-00002D050000}"/>
    <hyperlink ref="S1011" r:id="rId1327" xr:uid="{00000000-0004-0000-0200-00002E050000}"/>
    <hyperlink ref="F1012" r:id="rId1328" xr:uid="{00000000-0004-0000-0200-00002F050000}"/>
    <hyperlink ref="S1012" r:id="rId1329" xr:uid="{00000000-0004-0000-0200-000030050000}"/>
    <hyperlink ref="F1013" r:id="rId1330" xr:uid="{00000000-0004-0000-0200-000031050000}"/>
    <hyperlink ref="F1014" r:id="rId1331" xr:uid="{00000000-0004-0000-0200-000032050000}"/>
    <hyperlink ref="F1015" r:id="rId1332" xr:uid="{00000000-0004-0000-0200-000033050000}"/>
    <hyperlink ref="S1015" r:id="rId1333" xr:uid="{00000000-0004-0000-0200-000034050000}"/>
    <hyperlink ref="F1016" r:id="rId1334" xr:uid="{00000000-0004-0000-0200-000035050000}"/>
    <hyperlink ref="G1016" r:id="rId1335" xr:uid="{00000000-0004-0000-0200-000036050000}"/>
    <hyperlink ref="F1017" r:id="rId1336" xr:uid="{00000000-0004-0000-0200-000037050000}"/>
    <hyperlink ref="G1017" r:id="rId1337" xr:uid="{00000000-0004-0000-0200-000038050000}"/>
    <hyperlink ref="S1017" r:id="rId1338" xr:uid="{00000000-0004-0000-0200-000039050000}"/>
    <hyperlink ref="F1018" r:id="rId1339" xr:uid="{00000000-0004-0000-0200-00003A050000}"/>
    <hyperlink ref="S1018" r:id="rId1340" xr:uid="{00000000-0004-0000-0200-00003B050000}"/>
    <hyperlink ref="F1019" r:id="rId1341" xr:uid="{00000000-0004-0000-0200-00003C050000}"/>
    <hyperlink ref="G1020" r:id="rId1342" xr:uid="{00000000-0004-0000-0200-00003D050000}"/>
    <hyperlink ref="F1023" r:id="rId1343" xr:uid="{00000000-0004-0000-0200-00003E050000}"/>
    <hyperlink ref="F1024" r:id="rId1344" xr:uid="{00000000-0004-0000-0200-00003F050000}"/>
    <hyperlink ref="G1024" r:id="rId1345" xr:uid="{00000000-0004-0000-0200-000040050000}"/>
    <hyperlink ref="S1024" r:id="rId1346" xr:uid="{00000000-0004-0000-0200-000041050000}"/>
    <hyperlink ref="F1025" r:id="rId1347" xr:uid="{00000000-0004-0000-0200-000042050000}"/>
    <hyperlink ref="F1026" r:id="rId1348" xr:uid="{00000000-0004-0000-0200-000043050000}"/>
    <hyperlink ref="G1026" r:id="rId1349" xr:uid="{00000000-0004-0000-0200-000044050000}"/>
    <hyperlink ref="S1026" r:id="rId1350" xr:uid="{00000000-0004-0000-0200-000045050000}"/>
    <hyperlink ref="F1028" r:id="rId1351" xr:uid="{00000000-0004-0000-0200-000046050000}"/>
    <hyperlink ref="S1028" r:id="rId1352" xr:uid="{00000000-0004-0000-0200-000047050000}"/>
    <hyperlink ref="F1029" r:id="rId1353" xr:uid="{00000000-0004-0000-0200-000048050000}"/>
    <hyperlink ref="G1029" r:id="rId1354" xr:uid="{00000000-0004-0000-0200-000049050000}"/>
    <hyperlink ref="F1030" r:id="rId1355" xr:uid="{00000000-0004-0000-0200-00004A050000}"/>
    <hyperlink ref="F1032" r:id="rId1356" xr:uid="{00000000-0004-0000-0200-00004B050000}"/>
    <hyperlink ref="G1032" r:id="rId1357" xr:uid="{00000000-0004-0000-0200-00004C050000}"/>
    <hyperlink ref="S1032" r:id="rId1358" xr:uid="{00000000-0004-0000-0200-00004D050000}"/>
    <hyperlink ref="F1033" r:id="rId1359" xr:uid="{00000000-0004-0000-0200-00004E050000}"/>
    <hyperlink ref="F1034" r:id="rId1360" xr:uid="{00000000-0004-0000-0200-00004F050000}"/>
    <hyperlink ref="S1034" r:id="rId1361" xr:uid="{00000000-0004-0000-0200-000050050000}"/>
    <hyperlink ref="F1035" r:id="rId1362" xr:uid="{00000000-0004-0000-0200-000051050000}"/>
    <hyperlink ref="S1035" r:id="rId1363" xr:uid="{00000000-0004-0000-0200-000052050000}"/>
    <hyperlink ref="F1036" r:id="rId1364" xr:uid="{00000000-0004-0000-0200-000053050000}"/>
    <hyperlink ref="G1036" r:id="rId1365" xr:uid="{00000000-0004-0000-0200-000054050000}"/>
    <hyperlink ref="S1036" r:id="rId1366" xr:uid="{00000000-0004-0000-0200-000055050000}"/>
    <hyperlink ref="F1037" r:id="rId1367" xr:uid="{00000000-0004-0000-0200-000056050000}"/>
    <hyperlink ref="G1037" r:id="rId1368" xr:uid="{00000000-0004-0000-0200-000057050000}"/>
    <hyperlink ref="S1037" r:id="rId1369" xr:uid="{00000000-0004-0000-0200-000058050000}"/>
    <hyperlink ref="F1038" r:id="rId1370" xr:uid="{00000000-0004-0000-0200-000059050000}"/>
    <hyperlink ref="S1038" r:id="rId1371" xr:uid="{00000000-0004-0000-0200-00005A050000}"/>
    <hyperlink ref="F1039" r:id="rId1372" xr:uid="{00000000-0004-0000-0200-00005B050000}"/>
    <hyperlink ref="S1039" r:id="rId1373" xr:uid="{00000000-0004-0000-0200-00005C050000}"/>
    <hyperlink ref="F1040" r:id="rId1374" xr:uid="{00000000-0004-0000-0200-00005D050000}"/>
    <hyperlink ref="F1041" r:id="rId1375" xr:uid="{00000000-0004-0000-0200-00005E050000}"/>
    <hyperlink ref="G1041" r:id="rId1376" xr:uid="{00000000-0004-0000-0200-00005F050000}"/>
    <hyperlink ref="F1042" r:id="rId1377" xr:uid="{00000000-0004-0000-0200-000060050000}"/>
    <hyperlink ref="S1042" r:id="rId1378" xr:uid="{00000000-0004-0000-0200-000061050000}"/>
    <hyperlink ref="F1043" r:id="rId1379" xr:uid="{00000000-0004-0000-0200-000062050000}"/>
    <hyperlink ref="S1043" r:id="rId1380" xr:uid="{00000000-0004-0000-0200-000063050000}"/>
    <hyperlink ref="F1044" r:id="rId1381" xr:uid="{00000000-0004-0000-0200-000064050000}"/>
    <hyperlink ref="F1045" r:id="rId1382" xr:uid="{00000000-0004-0000-0200-000065050000}"/>
    <hyperlink ref="F1047" r:id="rId1383" xr:uid="{00000000-0004-0000-0200-000066050000}"/>
    <hyperlink ref="F1048" r:id="rId1384" xr:uid="{00000000-0004-0000-0200-000067050000}"/>
    <hyperlink ref="G1050" r:id="rId1385" xr:uid="{00000000-0004-0000-0200-000068050000}"/>
    <hyperlink ref="S1050" r:id="rId1386" xr:uid="{00000000-0004-0000-0200-000069050000}"/>
    <hyperlink ref="F1051" r:id="rId1387" xr:uid="{00000000-0004-0000-0200-00006A050000}"/>
    <hyperlink ref="S1051" r:id="rId1388" xr:uid="{00000000-0004-0000-0200-00006B050000}"/>
    <hyperlink ref="F1052" r:id="rId1389" xr:uid="{00000000-0004-0000-0200-00006C050000}"/>
    <hyperlink ref="G1052" r:id="rId1390" xr:uid="{00000000-0004-0000-0200-00006D050000}"/>
    <hyperlink ref="S1052" r:id="rId1391" xr:uid="{00000000-0004-0000-0200-00006E050000}"/>
    <hyperlink ref="F1053" r:id="rId1392" xr:uid="{00000000-0004-0000-0200-00006F050000}"/>
    <hyperlink ref="S1053" r:id="rId1393" xr:uid="{00000000-0004-0000-0200-000070050000}"/>
    <hyperlink ref="F1054" r:id="rId1394" xr:uid="{00000000-0004-0000-0200-000071050000}"/>
    <hyperlink ref="G1054" r:id="rId1395" xr:uid="{00000000-0004-0000-0200-000072050000}"/>
    <hyperlink ref="S1054" r:id="rId1396" xr:uid="{00000000-0004-0000-0200-000073050000}"/>
    <hyperlink ref="F1055" r:id="rId1397" xr:uid="{00000000-0004-0000-0200-000074050000}"/>
    <hyperlink ref="S1055" r:id="rId1398" xr:uid="{00000000-0004-0000-0200-000075050000}"/>
    <hyperlink ref="F1056" r:id="rId1399" xr:uid="{00000000-0004-0000-0200-000076050000}"/>
    <hyperlink ref="S1056" r:id="rId1400" xr:uid="{00000000-0004-0000-0200-000077050000}"/>
    <hyperlink ref="F1057" r:id="rId1401" xr:uid="{00000000-0004-0000-0200-000078050000}"/>
    <hyperlink ref="S1057" r:id="rId1402" xr:uid="{00000000-0004-0000-0200-000079050000}"/>
    <hyperlink ref="F1058" r:id="rId1403" xr:uid="{00000000-0004-0000-0200-00007A050000}"/>
    <hyperlink ref="S1058" r:id="rId1404" xr:uid="{00000000-0004-0000-0200-00007B050000}"/>
    <hyperlink ref="S1059" r:id="rId1405" xr:uid="{00000000-0004-0000-0200-00007C050000}"/>
    <hyperlink ref="F1060" r:id="rId1406" xr:uid="{00000000-0004-0000-0200-00007D050000}"/>
    <hyperlink ref="S1060" r:id="rId1407" xr:uid="{00000000-0004-0000-0200-00007E050000}"/>
    <hyperlink ref="F1061" r:id="rId1408" xr:uid="{00000000-0004-0000-0200-00007F050000}"/>
    <hyperlink ref="S1061" r:id="rId1409" xr:uid="{00000000-0004-0000-0200-000080050000}"/>
    <hyperlink ref="F1062" r:id="rId1410" xr:uid="{00000000-0004-0000-0200-000081050000}"/>
    <hyperlink ref="S1062" r:id="rId1411" xr:uid="{00000000-0004-0000-0200-000082050000}"/>
    <hyperlink ref="F1063" r:id="rId1412" xr:uid="{00000000-0004-0000-0200-000083050000}"/>
    <hyperlink ref="G1063" r:id="rId1413" xr:uid="{00000000-0004-0000-0200-000084050000}"/>
    <hyperlink ref="F1064" r:id="rId1414" xr:uid="{00000000-0004-0000-0200-000085050000}"/>
    <hyperlink ref="G1064" r:id="rId1415" xr:uid="{00000000-0004-0000-0200-000086050000}"/>
    <hyperlink ref="S1064" r:id="rId1416" xr:uid="{00000000-0004-0000-0200-000087050000}"/>
    <hyperlink ref="F1066" r:id="rId1417" xr:uid="{00000000-0004-0000-0200-000088050000}"/>
    <hyperlink ref="F1067" r:id="rId1418" xr:uid="{00000000-0004-0000-0200-000089050000}"/>
    <hyperlink ref="F1068" r:id="rId1419" xr:uid="{00000000-0004-0000-0200-00008A050000}"/>
    <hyperlink ref="G1068" r:id="rId1420" xr:uid="{00000000-0004-0000-0200-00008B050000}"/>
    <hyperlink ref="S1068" r:id="rId1421" xr:uid="{00000000-0004-0000-0200-00008C050000}"/>
    <hyperlink ref="F1069" r:id="rId1422" xr:uid="{00000000-0004-0000-0200-00008D050000}"/>
    <hyperlink ref="S1069" r:id="rId1423" xr:uid="{00000000-0004-0000-0200-00008E050000}"/>
    <hyperlink ref="G1070" r:id="rId1424" xr:uid="{00000000-0004-0000-0200-00008F050000}"/>
    <hyperlink ref="S1070" r:id="rId1425" xr:uid="{00000000-0004-0000-0200-000090050000}"/>
    <hyperlink ref="F1072" r:id="rId1426" xr:uid="{00000000-0004-0000-0200-000091050000}"/>
    <hyperlink ref="F1073" r:id="rId1427" xr:uid="{00000000-0004-0000-0200-000092050000}"/>
    <hyperlink ref="G1073" r:id="rId1428" xr:uid="{00000000-0004-0000-0200-000093050000}"/>
    <hyperlink ref="F1074" r:id="rId1429" xr:uid="{00000000-0004-0000-0200-000094050000}"/>
    <hyperlink ref="S1074" r:id="rId1430" xr:uid="{00000000-0004-0000-0200-000095050000}"/>
    <hyperlink ref="F1075" r:id="rId1431" xr:uid="{00000000-0004-0000-0200-000096050000}"/>
    <hyperlink ref="G1075" r:id="rId1432" xr:uid="{00000000-0004-0000-0200-000097050000}"/>
    <hyperlink ref="S1075" r:id="rId1433" xr:uid="{00000000-0004-0000-0200-000098050000}"/>
    <hyperlink ref="G1076" r:id="rId1434" xr:uid="{00000000-0004-0000-0200-000099050000}"/>
    <hyperlink ref="F1077" r:id="rId1435" xr:uid="{00000000-0004-0000-0200-00009A050000}"/>
    <hyperlink ref="S1078" r:id="rId1436" xr:uid="{00000000-0004-0000-0200-00009B050000}"/>
    <hyperlink ref="F1079" r:id="rId1437" location=".XApvFBKYo10.twitter" xr:uid="{00000000-0004-0000-0200-00009C050000}"/>
    <hyperlink ref="S1079" r:id="rId1438" xr:uid="{00000000-0004-0000-0200-00009D050000}"/>
    <hyperlink ref="F1080" r:id="rId1439" xr:uid="{00000000-0004-0000-0200-00009E050000}"/>
    <hyperlink ref="F1081" r:id="rId1440" xr:uid="{00000000-0004-0000-0200-00009F050000}"/>
    <hyperlink ref="S1081" r:id="rId1441" xr:uid="{00000000-0004-0000-0200-0000A0050000}"/>
    <hyperlink ref="F1082" r:id="rId1442" xr:uid="{00000000-0004-0000-0200-0000A1050000}"/>
    <hyperlink ref="S1082" r:id="rId1443" xr:uid="{00000000-0004-0000-0200-0000A2050000}"/>
    <hyperlink ref="F1083" r:id="rId1444" xr:uid="{00000000-0004-0000-0200-0000A3050000}"/>
    <hyperlink ref="F1084" r:id="rId1445" xr:uid="{00000000-0004-0000-0200-0000A4050000}"/>
    <hyperlink ref="F1085" r:id="rId1446" xr:uid="{00000000-0004-0000-0200-0000A5050000}"/>
    <hyperlink ref="G1086" r:id="rId1447" xr:uid="{00000000-0004-0000-0200-0000A6050000}"/>
    <hyperlink ref="S1086" r:id="rId1448" xr:uid="{00000000-0004-0000-0200-0000A7050000}"/>
    <hyperlink ref="F1087" r:id="rId1449" xr:uid="{00000000-0004-0000-0200-0000A8050000}"/>
    <hyperlink ref="G1087" r:id="rId1450" xr:uid="{00000000-0004-0000-0200-0000A9050000}"/>
    <hyperlink ref="S1087" r:id="rId1451" xr:uid="{00000000-0004-0000-0200-0000AA050000}"/>
    <hyperlink ref="F1088" r:id="rId1452" xr:uid="{00000000-0004-0000-0200-0000AB050000}"/>
    <hyperlink ref="S1088" r:id="rId1453" xr:uid="{00000000-0004-0000-0200-0000AC050000}"/>
    <hyperlink ref="F1089" r:id="rId1454" xr:uid="{00000000-0004-0000-0200-0000AD050000}"/>
    <hyperlink ref="G1089" r:id="rId1455" xr:uid="{00000000-0004-0000-0200-0000AE050000}"/>
    <hyperlink ref="S1089" r:id="rId1456" xr:uid="{00000000-0004-0000-0200-0000AF050000}"/>
    <hyperlink ref="F1090" r:id="rId1457" xr:uid="{00000000-0004-0000-0200-0000B0050000}"/>
    <hyperlink ref="S1090" r:id="rId1458" xr:uid="{00000000-0004-0000-0200-0000B1050000}"/>
    <hyperlink ref="F1091" r:id="rId1459" xr:uid="{00000000-0004-0000-0200-0000B2050000}"/>
    <hyperlink ref="G1091" r:id="rId1460" xr:uid="{00000000-0004-0000-0200-0000B3050000}"/>
    <hyperlink ref="F1092" r:id="rId1461" xr:uid="{00000000-0004-0000-0200-0000B4050000}"/>
    <hyperlink ref="G1092" r:id="rId1462" xr:uid="{00000000-0004-0000-0200-0000B5050000}"/>
    <hyperlink ref="S1092" r:id="rId1463" xr:uid="{00000000-0004-0000-0200-0000B6050000}"/>
    <hyperlink ref="F1094" r:id="rId1464" xr:uid="{00000000-0004-0000-0200-0000B7050000}"/>
    <hyperlink ref="S1094" r:id="rId1465" xr:uid="{00000000-0004-0000-0200-0000B8050000}"/>
    <hyperlink ref="F1095" r:id="rId1466" xr:uid="{00000000-0004-0000-0200-0000B9050000}"/>
    <hyperlink ref="F1096" r:id="rId1467" xr:uid="{00000000-0004-0000-0200-0000BA050000}"/>
    <hyperlink ref="F1097" r:id="rId1468" xr:uid="{00000000-0004-0000-0200-0000BB050000}"/>
    <hyperlink ref="S1097" r:id="rId1469" xr:uid="{00000000-0004-0000-0200-0000BC050000}"/>
    <hyperlink ref="F1098" r:id="rId1470" xr:uid="{00000000-0004-0000-0200-0000BD050000}"/>
    <hyperlink ref="G1098" r:id="rId1471" xr:uid="{00000000-0004-0000-0200-0000BE050000}"/>
    <hyperlink ref="S1098" r:id="rId1472" xr:uid="{00000000-0004-0000-0200-0000BF050000}"/>
    <hyperlink ref="G1099" r:id="rId1473" xr:uid="{00000000-0004-0000-0200-0000C0050000}"/>
    <hyperlink ref="F1100" r:id="rId1474" xr:uid="{00000000-0004-0000-0200-0000C1050000}"/>
    <hyperlink ref="S1100" r:id="rId1475" xr:uid="{00000000-0004-0000-0200-0000C2050000}"/>
    <hyperlink ref="F1101" r:id="rId1476" location="click=https://t.co/e49XGBTlHr" xr:uid="{00000000-0004-0000-0200-0000C3050000}"/>
    <hyperlink ref="F1102" r:id="rId1477" xr:uid="{00000000-0004-0000-0200-0000C4050000}"/>
    <hyperlink ref="G1102" r:id="rId1478" xr:uid="{00000000-0004-0000-0200-0000C5050000}"/>
    <hyperlink ref="F1103" r:id="rId1479" xr:uid="{00000000-0004-0000-0200-0000C6050000}"/>
    <hyperlink ref="F1105" r:id="rId1480" xr:uid="{00000000-0004-0000-0200-0000C7050000}"/>
    <hyperlink ref="F1106" r:id="rId1481" xr:uid="{00000000-0004-0000-0200-0000C8050000}"/>
    <hyperlink ref="F1108" r:id="rId1482" xr:uid="{00000000-0004-0000-0200-0000C9050000}"/>
    <hyperlink ref="F1109" r:id="rId1483" xr:uid="{00000000-0004-0000-0200-0000CA050000}"/>
    <hyperlink ref="S1109" r:id="rId1484" xr:uid="{00000000-0004-0000-0200-0000CB050000}"/>
    <hyperlink ref="F1111" r:id="rId1485" xr:uid="{00000000-0004-0000-0200-0000CC050000}"/>
    <hyperlink ref="F1112" r:id="rId1486" xr:uid="{00000000-0004-0000-0200-0000CD050000}"/>
    <hyperlink ref="S1112" r:id="rId1487" xr:uid="{00000000-0004-0000-0200-0000CE050000}"/>
    <hyperlink ref="F1113" r:id="rId1488" xr:uid="{00000000-0004-0000-0200-0000CF050000}"/>
    <hyperlink ref="S1113" r:id="rId1489" xr:uid="{00000000-0004-0000-0200-0000D0050000}"/>
    <hyperlink ref="F1114" r:id="rId1490" location=".XApp24vYzug.twitter" xr:uid="{00000000-0004-0000-0200-0000D1050000}"/>
    <hyperlink ref="F1115" r:id="rId1491" xr:uid="{00000000-0004-0000-0200-0000D2050000}"/>
    <hyperlink ref="S1115" r:id="rId1492" xr:uid="{00000000-0004-0000-0200-0000D3050000}"/>
    <hyperlink ref="F1116" r:id="rId1493" xr:uid="{00000000-0004-0000-0200-0000D4050000}"/>
    <hyperlink ref="S1116" r:id="rId1494" xr:uid="{00000000-0004-0000-0200-0000D5050000}"/>
    <hyperlink ref="F1117" r:id="rId1495" xr:uid="{00000000-0004-0000-0200-0000D6050000}"/>
    <hyperlink ref="F1118" r:id="rId1496" xr:uid="{00000000-0004-0000-0200-0000D7050000}"/>
    <hyperlink ref="C1119" r:id="rId1497" xr:uid="{00000000-0004-0000-0200-0000D8050000}"/>
    <hyperlink ref="G1119" r:id="rId1498" xr:uid="{00000000-0004-0000-0200-0000D9050000}"/>
    <hyperlink ref="S1119" r:id="rId1499" xr:uid="{00000000-0004-0000-0200-0000DA050000}"/>
    <hyperlink ref="F1120" r:id="rId1500" xr:uid="{00000000-0004-0000-0200-0000DB050000}"/>
    <hyperlink ref="F1121" r:id="rId1501" xr:uid="{00000000-0004-0000-0200-0000DC050000}"/>
    <hyperlink ref="S1121" r:id="rId1502" xr:uid="{00000000-0004-0000-0200-0000DD050000}"/>
    <hyperlink ref="F1122" r:id="rId1503" xr:uid="{00000000-0004-0000-0200-0000DE050000}"/>
    <hyperlink ref="S1122" r:id="rId1504" xr:uid="{00000000-0004-0000-0200-0000DF050000}"/>
    <hyperlink ref="F1123" r:id="rId1505" xr:uid="{00000000-0004-0000-0200-0000E0050000}"/>
    <hyperlink ref="F1124" r:id="rId1506" xr:uid="{00000000-0004-0000-0200-0000E1050000}"/>
    <hyperlink ref="F1125" r:id="rId1507" xr:uid="{00000000-0004-0000-0200-0000E2050000}"/>
    <hyperlink ref="F1126" r:id="rId1508" xr:uid="{00000000-0004-0000-0200-0000E3050000}"/>
    <hyperlink ref="F1128" r:id="rId1509" xr:uid="{00000000-0004-0000-0200-0000E4050000}"/>
    <hyperlink ref="S1128" r:id="rId1510" xr:uid="{00000000-0004-0000-0200-0000E5050000}"/>
    <hyperlink ref="C1129" r:id="rId1511" xr:uid="{00000000-0004-0000-0200-0000E6050000}"/>
    <hyperlink ref="F1129" r:id="rId1512" xr:uid="{00000000-0004-0000-0200-0000E7050000}"/>
    <hyperlink ref="G1129" r:id="rId1513" xr:uid="{00000000-0004-0000-0200-0000E8050000}"/>
    <hyperlink ref="S1129" r:id="rId1514" xr:uid="{00000000-0004-0000-0200-0000E9050000}"/>
    <hyperlink ref="F1130" r:id="rId1515" xr:uid="{00000000-0004-0000-0200-0000EA050000}"/>
    <hyperlink ref="G1130" r:id="rId1516" xr:uid="{00000000-0004-0000-0200-0000EB050000}"/>
    <hyperlink ref="S1130" r:id="rId1517" xr:uid="{00000000-0004-0000-0200-0000EC050000}"/>
    <hyperlink ref="F1131" r:id="rId1518" xr:uid="{00000000-0004-0000-0200-0000ED050000}"/>
    <hyperlink ref="S1131" r:id="rId1519" xr:uid="{00000000-0004-0000-0200-0000EE050000}"/>
    <hyperlink ref="F1132" r:id="rId1520" xr:uid="{00000000-0004-0000-0200-0000EF050000}"/>
    <hyperlink ref="F1133" r:id="rId1521" xr:uid="{00000000-0004-0000-0200-0000F0050000}"/>
    <hyperlink ref="G1134" r:id="rId1522" xr:uid="{00000000-0004-0000-0200-0000F1050000}"/>
    <hyperlink ref="S1134" r:id="rId1523" xr:uid="{00000000-0004-0000-0200-0000F2050000}"/>
    <hyperlink ref="C1135" r:id="rId1524" xr:uid="{00000000-0004-0000-0200-0000F3050000}"/>
    <hyperlink ref="F1135" r:id="rId1525" xr:uid="{00000000-0004-0000-0200-0000F4050000}"/>
    <hyperlink ref="S1135" r:id="rId1526" xr:uid="{00000000-0004-0000-0200-0000F5050000}"/>
    <hyperlink ref="F1136" r:id="rId1527" xr:uid="{00000000-0004-0000-0200-0000F6050000}"/>
    <hyperlink ref="G1136" r:id="rId1528" xr:uid="{00000000-0004-0000-0200-0000F7050000}"/>
    <hyperlink ref="F1137" r:id="rId1529" xr:uid="{00000000-0004-0000-0200-0000F8050000}"/>
    <hyperlink ref="F1138" r:id="rId1530" xr:uid="{00000000-0004-0000-0200-0000F9050000}"/>
    <hyperlink ref="G1138" r:id="rId1531" xr:uid="{00000000-0004-0000-0200-0000FA050000}"/>
    <hyperlink ref="S1138" r:id="rId1532" xr:uid="{00000000-0004-0000-0200-0000FB050000}"/>
    <hyperlink ref="F1140" r:id="rId1533" xr:uid="{00000000-0004-0000-0200-0000FC050000}"/>
    <hyperlink ref="F1141" r:id="rId1534" xr:uid="{00000000-0004-0000-0200-0000FD050000}"/>
    <hyperlink ref="F1142" r:id="rId1535" xr:uid="{00000000-0004-0000-0200-0000FE050000}"/>
    <hyperlink ref="F1143" r:id="rId1536" xr:uid="{00000000-0004-0000-0200-0000FF050000}"/>
    <hyperlink ref="G1144" r:id="rId1537" xr:uid="{00000000-0004-0000-0200-000000060000}"/>
    <hyperlink ref="S1144" r:id="rId1538" xr:uid="{00000000-0004-0000-0200-000001060000}"/>
    <hyperlink ref="F1145" r:id="rId1539" xr:uid="{00000000-0004-0000-0200-000002060000}"/>
    <hyperlink ref="F1146" r:id="rId1540" xr:uid="{00000000-0004-0000-0200-000003060000}"/>
    <hyperlink ref="S1146" r:id="rId1541" xr:uid="{00000000-0004-0000-0200-000004060000}"/>
    <hyperlink ref="F1147" r:id="rId1542" xr:uid="{00000000-0004-0000-0200-000005060000}"/>
    <hyperlink ref="S1147" r:id="rId1543" xr:uid="{00000000-0004-0000-0200-000006060000}"/>
    <hyperlink ref="F1148" r:id="rId1544" xr:uid="{00000000-0004-0000-0200-000007060000}"/>
    <hyperlink ref="F1149" r:id="rId1545" xr:uid="{00000000-0004-0000-0200-000008060000}"/>
    <hyperlink ref="F1150" r:id="rId1546" xr:uid="{00000000-0004-0000-0200-000009060000}"/>
    <hyperlink ref="S1150" r:id="rId1547" xr:uid="{00000000-0004-0000-0200-00000A060000}"/>
    <hyperlink ref="F1151" r:id="rId1548" location=".XApiNEd3P70.twitter" xr:uid="{00000000-0004-0000-0200-00000B060000}"/>
    <hyperlink ref="S1151" r:id="rId1549" xr:uid="{00000000-0004-0000-0200-00000C060000}"/>
    <hyperlink ref="F1152" r:id="rId1550" xr:uid="{00000000-0004-0000-0200-00000D060000}"/>
    <hyperlink ref="F1153" r:id="rId1551" xr:uid="{00000000-0004-0000-0200-00000E060000}"/>
    <hyperlink ref="S1153" r:id="rId1552" xr:uid="{00000000-0004-0000-0200-00000F060000}"/>
    <hyperlink ref="F1154" r:id="rId1553" xr:uid="{00000000-0004-0000-0200-000010060000}"/>
    <hyperlink ref="F1155" r:id="rId1554" xr:uid="{00000000-0004-0000-0200-000011060000}"/>
    <hyperlink ref="S1155" r:id="rId1555" xr:uid="{00000000-0004-0000-0200-000012060000}"/>
    <hyperlink ref="F1156" r:id="rId1556" xr:uid="{00000000-0004-0000-0200-000013060000}"/>
    <hyperlink ref="G1157" r:id="rId1557" xr:uid="{00000000-0004-0000-0200-000014060000}"/>
    <hyperlink ref="F1158" r:id="rId1558" xr:uid="{00000000-0004-0000-0200-000015060000}"/>
    <hyperlink ref="G1158" r:id="rId1559" xr:uid="{00000000-0004-0000-0200-000016060000}"/>
    <hyperlink ref="S1158" r:id="rId1560" xr:uid="{00000000-0004-0000-0200-000017060000}"/>
    <hyperlink ref="F1159" r:id="rId1561" xr:uid="{00000000-0004-0000-0200-000018060000}"/>
    <hyperlink ref="G1159" r:id="rId1562" xr:uid="{00000000-0004-0000-0200-000019060000}"/>
    <hyperlink ref="F1160" r:id="rId1563" xr:uid="{00000000-0004-0000-0200-00001A060000}"/>
    <hyperlink ref="G1160" r:id="rId1564" xr:uid="{00000000-0004-0000-0200-00001B060000}"/>
    <hyperlink ref="S1160" r:id="rId1565" xr:uid="{00000000-0004-0000-0200-00001C060000}"/>
    <hyperlink ref="F1161" r:id="rId1566" xr:uid="{00000000-0004-0000-0200-00001D060000}"/>
    <hyperlink ref="S1161" r:id="rId1567" xr:uid="{00000000-0004-0000-0200-00001E060000}"/>
    <hyperlink ref="F1162" r:id="rId1568" xr:uid="{00000000-0004-0000-0200-00001F060000}"/>
    <hyperlink ref="S1162" r:id="rId1569" xr:uid="{00000000-0004-0000-0200-000020060000}"/>
    <hyperlink ref="G1163" r:id="rId1570" xr:uid="{00000000-0004-0000-0200-000021060000}"/>
    <hyperlink ref="S1163" r:id="rId1571" xr:uid="{00000000-0004-0000-0200-000022060000}"/>
    <hyperlink ref="G1164" r:id="rId1572" xr:uid="{00000000-0004-0000-0200-000023060000}"/>
    <hyperlink ref="S1164" r:id="rId1573" xr:uid="{00000000-0004-0000-0200-000024060000}"/>
    <hyperlink ref="G1165" r:id="rId1574" xr:uid="{00000000-0004-0000-0200-000025060000}"/>
    <hyperlink ref="F1166" r:id="rId1575" xr:uid="{00000000-0004-0000-0200-000026060000}"/>
    <hyperlink ref="S1166" r:id="rId1576" xr:uid="{00000000-0004-0000-0200-000027060000}"/>
    <hyperlink ref="F1167" r:id="rId1577" location=".XApeESym0-E.twitter" xr:uid="{00000000-0004-0000-0200-000028060000}"/>
    <hyperlink ref="G1168" r:id="rId1578" xr:uid="{00000000-0004-0000-0200-000029060000}"/>
    <hyperlink ref="G1169" r:id="rId1579" xr:uid="{00000000-0004-0000-0200-00002A060000}"/>
    <hyperlink ref="S1169" r:id="rId1580" xr:uid="{00000000-0004-0000-0200-00002B060000}"/>
    <hyperlink ref="F1170" r:id="rId1581" xr:uid="{00000000-0004-0000-0200-00002C060000}"/>
    <hyperlink ref="S1170" r:id="rId1582" xr:uid="{00000000-0004-0000-0200-00002D060000}"/>
    <hyperlink ref="F1171" r:id="rId1583" xr:uid="{00000000-0004-0000-0200-00002E060000}"/>
    <hyperlink ref="G1171" r:id="rId1584" xr:uid="{00000000-0004-0000-0200-00002F060000}"/>
    <hyperlink ref="S1171" r:id="rId1585" xr:uid="{00000000-0004-0000-0200-000030060000}"/>
    <hyperlink ref="F1172" r:id="rId1586" xr:uid="{00000000-0004-0000-0200-000031060000}"/>
    <hyperlink ref="F1173" r:id="rId1587" xr:uid="{00000000-0004-0000-0200-000032060000}"/>
    <hyperlink ref="F1174" r:id="rId1588" xr:uid="{00000000-0004-0000-0200-000033060000}"/>
    <hyperlink ref="G1175" r:id="rId1589" xr:uid="{00000000-0004-0000-0200-000034060000}"/>
    <hyperlink ref="S1176" r:id="rId1590" xr:uid="{00000000-0004-0000-0200-000035060000}"/>
    <hyperlink ref="F1177" r:id="rId1591" location=".XApbngWfTTg.facebook" xr:uid="{00000000-0004-0000-0200-000036060000}"/>
    <hyperlink ref="S1177" r:id="rId1592" xr:uid="{00000000-0004-0000-0200-000037060000}"/>
    <hyperlink ref="F1178" r:id="rId1593" location=".XApbldQHmP4.twitter" xr:uid="{00000000-0004-0000-0200-000038060000}"/>
    <hyperlink ref="S1178" r:id="rId1594" xr:uid="{00000000-0004-0000-0200-000039060000}"/>
    <hyperlink ref="F1179" r:id="rId1595" xr:uid="{00000000-0004-0000-0200-00003A060000}"/>
    <hyperlink ref="F1180" r:id="rId1596" xr:uid="{00000000-0004-0000-0200-00003B060000}"/>
    <hyperlink ref="F1181" r:id="rId1597" xr:uid="{00000000-0004-0000-0200-00003C060000}"/>
    <hyperlink ref="S1181" r:id="rId1598" xr:uid="{00000000-0004-0000-0200-00003D060000}"/>
    <hyperlink ref="F1182" r:id="rId1599" xr:uid="{00000000-0004-0000-0200-00003E060000}"/>
    <hyperlink ref="S1182" r:id="rId1600" xr:uid="{00000000-0004-0000-0200-00003F060000}"/>
    <hyperlink ref="G1183" r:id="rId1601" xr:uid="{00000000-0004-0000-0200-000040060000}"/>
    <hyperlink ref="S1184" r:id="rId1602" xr:uid="{00000000-0004-0000-0200-000041060000}"/>
    <hyperlink ref="F1185" r:id="rId1603" xr:uid="{00000000-0004-0000-0200-000042060000}"/>
    <hyperlink ref="F1186" r:id="rId1604" xr:uid="{00000000-0004-0000-0200-000043060000}"/>
    <hyperlink ref="S1186" r:id="rId1605" xr:uid="{00000000-0004-0000-0200-000044060000}"/>
    <hyperlink ref="F1187" r:id="rId1606" xr:uid="{00000000-0004-0000-0200-000045060000}"/>
    <hyperlink ref="F1188" r:id="rId1607" xr:uid="{00000000-0004-0000-0200-000046060000}"/>
    <hyperlink ref="G1188" r:id="rId1608" xr:uid="{00000000-0004-0000-0200-000047060000}"/>
    <hyperlink ref="S1188" r:id="rId1609" xr:uid="{00000000-0004-0000-0200-000048060000}"/>
    <hyperlink ref="G1189" r:id="rId1610" xr:uid="{00000000-0004-0000-0200-000049060000}"/>
    <hyperlink ref="S1189" r:id="rId1611" xr:uid="{00000000-0004-0000-0200-00004A060000}"/>
    <hyperlink ref="F1190" r:id="rId1612" xr:uid="{00000000-0004-0000-0200-00004B060000}"/>
    <hyperlink ref="S1190" r:id="rId1613" xr:uid="{00000000-0004-0000-0200-00004C060000}"/>
    <hyperlink ref="F1191" r:id="rId1614" xr:uid="{00000000-0004-0000-0200-00004D060000}"/>
    <hyperlink ref="S1191" r:id="rId1615" xr:uid="{00000000-0004-0000-0200-00004E060000}"/>
    <hyperlink ref="F1192" r:id="rId1616" xr:uid="{00000000-0004-0000-0200-00004F060000}"/>
    <hyperlink ref="G1192" r:id="rId1617" xr:uid="{00000000-0004-0000-0200-000050060000}"/>
    <hyperlink ref="F1193" r:id="rId1618" xr:uid="{00000000-0004-0000-0200-000051060000}"/>
    <hyperlink ref="S1193" r:id="rId1619" xr:uid="{00000000-0004-0000-0200-000052060000}"/>
    <hyperlink ref="S1194" r:id="rId1620" xr:uid="{00000000-0004-0000-0200-000053060000}"/>
    <hyperlink ref="F1195" r:id="rId1621" xr:uid="{00000000-0004-0000-0200-000054060000}"/>
    <hyperlink ref="S1195" r:id="rId1622" xr:uid="{00000000-0004-0000-0200-000055060000}"/>
    <hyperlink ref="F1196" r:id="rId1623" xr:uid="{00000000-0004-0000-0200-000056060000}"/>
    <hyperlink ref="S1196" r:id="rId1624" xr:uid="{00000000-0004-0000-0200-000057060000}"/>
    <hyperlink ref="F1197" r:id="rId1625" xr:uid="{00000000-0004-0000-0200-000058060000}"/>
    <hyperlink ref="F1198" r:id="rId1626" xr:uid="{00000000-0004-0000-0200-000059060000}"/>
    <hyperlink ref="G1198" r:id="rId1627" xr:uid="{00000000-0004-0000-0200-00005A060000}"/>
    <hyperlink ref="F1199" r:id="rId1628" xr:uid="{00000000-0004-0000-0200-00005B060000}"/>
    <hyperlink ref="S1199" r:id="rId1629" xr:uid="{00000000-0004-0000-0200-00005C060000}"/>
    <hyperlink ref="F1200" r:id="rId1630" xr:uid="{00000000-0004-0000-0200-00005D060000}"/>
    <hyperlink ref="F1201" r:id="rId1631" xr:uid="{00000000-0004-0000-0200-00005E060000}"/>
    <hyperlink ref="F1202" r:id="rId1632" xr:uid="{00000000-0004-0000-0200-00005F060000}"/>
    <hyperlink ref="F1203" r:id="rId1633" xr:uid="{00000000-0004-0000-0200-000060060000}"/>
    <hyperlink ref="S1203" r:id="rId1634" xr:uid="{00000000-0004-0000-0200-000061060000}"/>
    <hyperlink ref="F1205" r:id="rId1635" xr:uid="{00000000-0004-0000-0200-000062060000}"/>
    <hyperlink ref="G1205" r:id="rId1636" xr:uid="{00000000-0004-0000-0200-000063060000}"/>
    <hyperlink ref="S1205" r:id="rId1637" xr:uid="{00000000-0004-0000-0200-000064060000}"/>
    <hyperlink ref="F1207" r:id="rId1638" xr:uid="{00000000-0004-0000-0200-000065060000}"/>
    <hyperlink ref="F1208" r:id="rId1639" xr:uid="{00000000-0004-0000-0200-000066060000}"/>
    <hyperlink ref="S1208" r:id="rId1640" xr:uid="{00000000-0004-0000-0200-000067060000}"/>
    <hyperlink ref="F1209" r:id="rId1641" xr:uid="{00000000-0004-0000-0200-000068060000}"/>
    <hyperlink ref="S1209" r:id="rId1642" xr:uid="{00000000-0004-0000-0200-000069060000}"/>
    <hyperlink ref="F1210" r:id="rId1643" xr:uid="{00000000-0004-0000-0200-00006A060000}"/>
    <hyperlink ref="S1210" r:id="rId1644" xr:uid="{00000000-0004-0000-0200-00006B060000}"/>
    <hyperlink ref="F1211" r:id="rId1645" xr:uid="{00000000-0004-0000-0200-00006C060000}"/>
    <hyperlink ref="S1212" r:id="rId1646" xr:uid="{00000000-0004-0000-0200-00006D060000}"/>
    <hyperlink ref="F1215" r:id="rId1647" xr:uid="{00000000-0004-0000-0200-00006E060000}"/>
    <hyperlink ref="F1216" r:id="rId1648" xr:uid="{00000000-0004-0000-0200-00006F060000}"/>
    <hyperlink ref="S1216" r:id="rId1649" xr:uid="{00000000-0004-0000-0200-000070060000}"/>
    <hyperlink ref="F1217" r:id="rId1650" xr:uid="{00000000-0004-0000-0200-000071060000}"/>
    <hyperlink ref="G1217" r:id="rId1651" xr:uid="{00000000-0004-0000-0200-000072060000}"/>
    <hyperlink ref="S1217" r:id="rId1652" xr:uid="{00000000-0004-0000-0200-000073060000}"/>
    <hyperlink ref="F1218" r:id="rId1653" xr:uid="{00000000-0004-0000-0200-000074060000}"/>
    <hyperlink ref="F1220" r:id="rId1654" xr:uid="{00000000-0004-0000-0200-000075060000}"/>
    <hyperlink ref="F1221" r:id="rId1655" xr:uid="{00000000-0004-0000-0200-000076060000}"/>
    <hyperlink ref="F1222" r:id="rId1656" xr:uid="{00000000-0004-0000-0200-000077060000}"/>
    <hyperlink ref="S1222" r:id="rId1657" xr:uid="{00000000-0004-0000-0200-000078060000}"/>
    <hyperlink ref="F1223" r:id="rId1658" xr:uid="{00000000-0004-0000-0200-000079060000}"/>
    <hyperlink ref="F1224" r:id="rId1659" xr:uid="{00000000-0004-0000-0200-00007A060000}"/>
    <hyperlink ref="F1225" r:id="rId1660" xr:uid="{00000000-0004-0000-0200-00007B060000}"/>
    <hyperlink ref="F1226" r:id="rId1661" xr:uid="{00000000-0004-0000-0200-00007C060000}"/>
    <hyperlink ref="Q1226" r:id="rId1662" xr:uid="{00000000-0004-0000-0200-00007D060000}"/>
    <hyperlink ref="S1226" r:id="rId1663" xr:uid="{00000000-0004-0000-0200-00007E060000}"/>
    <hyperlink ref="F1228" r:id="rId1664" xr:uid="{00000000-0004-0000-0200-00007F060000}"/>
    <hyperlink ref="G1228" r:id="rId1665" xr:uid="{00000000-0004-0000-0200-000080060000}"/>
    <hyperlink ref="S1229" r:id="rId1666" xr:uid="{00000000-0004-0000-0200-000081060000}"/>
    <hyperlink ref="F1230" r:id="rId1667" xr:uid="{00000000-0004-0000-0200-000082060000}"/>
    <hyperlink ref="F1231" r:id="rId1668" xr:uid="{00000000-0004-0000-0200-000083060000}"/>
    <hyperlink ref="S1231" r:id="rId1669" xr:uid="{00000000-0004-0000-0200-000084060000}"/>
    <hyperlink ref="C1232" r:id="rId1670" xr:uid="{00000000-0004-0000-0200-000085060000}"/>
    <hyperlink ref="G1232" r:id="rId1671" xr:uid="{00000000-0004-0000-0200-000086060000}"/>
    <hyperlink ref="S1232" r:id="rId1672" xr:uid="{00000000-0004-0000-0200-000087060000}"/>
    <hyperlink ref="F1233" r:id="rId1673" xr:uid="{00000000-0004-0000-0200-000088060000}"/>
    <hyperlink ref="S1233" r:id="rId1674" xr:uid="{00000000-0004-0000-0200-000089060000}"/>
    <hyperlink ref="F1234" r:id="rId1675" xr:uid="{00000000-0004-0000-0200-00008A060000}"/>
    <hyperlink ref="G1234" r:id="rId1676" xr:uid="{00000000-0004-0000-0200-00008B060000}"/>
    <hyperlink ref="S1234" r:id="rId1677" xr:uid="{00000000-0004-0000-0200-00008C060000}"/>
    <hyperlink ref="F1235" r:id="rId1678" xr:uid="{00000000-0004-0000-0200-00008D060000}"/>
    <hyperlink ref="G1235" r:id="rId1679" xr:uid="{00000000-0004-0000-0200-00008E060000}"/>
    <hyperlink ref="F1236" r:id="rId1680" xr:uid="{00000000-0004-0000-0200-00008F060000}"/>
    <hyperlink ref="G1236" r:id="rId1681" xr:uid="{00000000-0004-0000-0200-000090060000}"/>
    <hyperlink ref="F1237" r:id="rId1682" xr:uid="{00000000-0004-0000-0200-000091060000}"/>
    <hyperlink ref="G1237" r:id="rId1683" xr:uid="{00000000-0004-0000-0200-000092060000}"/>
    <hyperlink ref="S1237" r:id="rId1684" xr:uid="{00000000-0004-0000-0200-000093060000}"/>
    <hyperlink ref="F1239" r:id="rId1685" xr:uid="{00000000-0004-0000-0200-000094060000}"/>
    <hyperlink ref="F1240" r:id="rId1686" xr:uid="{00000000-0004-0000-0200-000095060000}"/>
    <hyperlink ref="G1240" r:id="rId1687" xr:uid="{00000000-0004-0000-0200-000096060000}"/>
    <hyperlink ref="F1241" r:id="rId1688" xr:uid="{00000000-0004-0000-0200-000097060000}"/>
    <hyperlink ref="S1241" r:id="rId1689" xr:uid="{00000000-0004-0000-0200-000098060000}"/>
    <hyperlink ref="G1242" r:id="rId1690" xr:uid="{00000000-0004-0000-0200-000099060000}"/>
    <hyperlink ref="S1242" r:id="rId1691" xr:uid="{00000000-0004-0000-0200-00009A060000}"/>
    <hyperlink ref="F1243" r:id="rId1692" xr:uid="{00000000-0004-0000-0200-00009B060000}"/>
    <hyperlink ref="S1243" r:id="rId1693" xr:uid="{00000000-0004-0000-0200-00009C060000}"/>
    <hyperlink ref="G1244" r:id="rId1694" xr:uid="{00000000-0004-0000-0200-00009D060000}"/>
    <hyperlink ref="F1245" r:id="rId1695" xr:uid="{00000000-0004-0000-0200-00009E060000}"/>
    <hyperlink ref="F1246" r:id="rId1696" xr:uid="{00000000-0004-0000-0200-00009F060000}"/>
    <hyperlink ref="F1247" r:id="rId1697" xr:uid="{00000000-0004-0000-0200-0000A0060000}"/>
    <hyperlink ref="F1248" r:id="rId1698" location=".XApNLoZL-T0.twitter" xr:uid="{00000000-0004-0000-0200-0000A1060000}"/>
    <hyperlink ref="S1248" r:id="rId1699" location="!/mercedes.mosquerabango.7?ref=bookmark" xr:uid="{00000000-0004-0000-0200-0000A2060000}"/>
    <hyperlink ref="F1250" r:id="rId1700" xr:uid="{00000000-0004-0000-0200-0000A3060000}"/>
    <hyperlink ref="F1251" r:id="rId1701" xr:uid="{00000000-0004-0000-0200-0000A4060000}"/>
    <hyperlink ref="F1252" r:id="rId1702" xr:uid="{00000000-0004-0000-0200-0000A5060000}"/>
    <hyperlink ref="F1253" r:id="rId1703" xr:uid="{00000000-0004-0000-0200-0000A6060000}"/>
    <hyperlink ref="S1253" r:id="rId1704" xr:uid="{00000000-0004-0000-0200-0000A7060000}"/>
    <hyperlink ref="F1254" r:id="rId1705" xr:uid="{00000000-0004-0000-0200-0000A8060000}"/>
    <hyperlink ref="F1255" r:id="rId1706" xr:uid="{00000000-0004-0000-0200-0000A9060000}"/>
    <hyperlink ref="S1255" r:id="rId1707" xr:uid="{00000000-0004-0000-0200-0000AA060000}"/>
    <hyperlink ref="G1256" r:id="rId1708" xr:uid="{00000000-0004-0000-0200-0000AB060000}"/>
    <hyperlink ref="F1257" r:id="rId1709" xr:uid="{00000000-0004-0000-0200-0000AC060000}"/>
    <hyperlink ref="F1258" r:id="rId1710" xr:uid="{00000000-0004-0000-0200-0000AD060000}"/>
    <hyperlink ref="G1258" r:id="rId1711" xr:uid="{00000000-0004-0000-0200-0000AE060000}"/>
    <hyperlink ref="F1259" r:id="rId1712" xr:uid="{00000000-0004-0000-0200-0000AF060000}"/>
    <hyperlink ref="F1260" r:id="rId1713" xr:uid="{00000000-0004-0000-0200-0000B0060000}"/>
    <hyperlink ref="S1260" r:id="rId1714" xr:uid="{00000000-0004-0000-0200-0000B1060000}"/>
    <hyperlink ref="F1261" r:id="rId1715" xr:uid="{00000000-0004-0000-0200-0000B2060000}"/>
    <hyperlink ref="S1261" r:id="rId1716" xr:uid="{00000000-0004-0000-0200-0000B3060000}"/>
    <hyperlink ref="F1262" r:id="rId1717" xr:uid="{00000000-0004-0000-0200-0000B4060000}"/>
    <hyperlink ref="G1262" r:id="rId1718" xr:uid="{00000000-0004-0000-0200-0000B5060000}"/>
    <hyperlink ref="F1263" r:id="rId1719" xr:uid="{00000000-0004-0000-0200-0000B6060000}"/>
    <hyperlink ref="F1264" r:id="rId1720" xr:uid="{00000000-0004-0000-0200-0000B7060000}"/>
    <hyperlink ref="S1264" r:id="rId1721" xr:uid="{00000000-0004-0000-0200-0000B8060000}"/>
    <hyperlink ref="F1265" r:id="rId1722" xr:uid="{00000000-0004-0000-0200-0000B9060000}"/>
    <hyperlink ref="F1267" r:id="rId1723" xr:uid="{00000000-0004-0000-0200-0000BA060000}"/>
    <hyperlink ref="F1269" r:id="rId1724" xr:uid="{00000000-0004-0000-0200-0000BB060000}"/>
    <hyperlink ref="F1270" r:id="rId1725" xr:uid="{00000000-0004-0000-0200-0000BC060000}"/>
    <hyperlink ref="F1271" r:id="rId1726" xr:uid="{00000000-0004-0000-0200-0000BD060000}"/>
    <hyperlink ref="F1272" r:id="rId1727" xr:uid="{00000000-0004-0000-0200-0000BE060000}"/>
    <hyperlink ref="S1272" r:id="rId1728" xr:uid="{00000000-0004-0000-0200-0000BF060000}"/>
    <hyperlink ref="F1273" r:id="rId1729" xr:uid="{00000000-0004-0000-0200-0000C0060000}"/>
    <hyperlink ref="G1273" r:id="rId1730" xr:uid="{00000000-0004-0000-0200-0000C1060000}"/>
    <hyperlink ref="S1273" r:id="rId1731" xr:uid="{00000000-0004-0000-0200-0000C2060000}"/>
    <hyperlink ref="F1274" r:id="rId1732" xr:uid="{00000000-0004-0000-0200-0000C3060000}"/>
    <hyperlink ref="S1274" r:id="rId1733" xr:uid="{00000000-0004-0000-0200-0000C4060000}"/>
    <hyperlink ref="F1275" r:id="rId1734" xr:uid="{00000000-0004-0000-0200-0000C5060000}"/>
    <hyperlink ref="S1275" r:id="rId1735" xr:uid="{00000000-0004-0000-0200-0000C6060000}"/>
    <hyperlink ref="F1278" r:id="rId1736" xr:uid="{00000000-0004-0000-0200-0000C7060000}"/>
    <hyperlink ref="F1279" r:id="rId1737" xr:uid="{00000000-0004-0000-0200-0000C8060000}"/>
    <hyperlink ref="S1279" r:id="rId1738" xr:uid="{00000000-0004-0000-0200-0000C9060000}"/>
    <hyperlink ref="F1280" r:id="rId1739" xr:uid="{00000000-0004-0000-0200-0000CA060000}"/>
    <hyperlink ref="F1281" r:id="rId1740" xr:uid="{00000000-0004-0000-0200-0000CB060000}"/>
    <hyperlink ref="F1282" r:id="rId1741" xr:uid="{00000000-0004-0000-0200-0000CC060000}"/>
    <hyperlink ref="F1283" r:id="rId1742" location=".XAojXsWVqMQ.whatsapp" xr:uid="{00000000-0004-0000-0200-0000CD060000}"/>
    <hyperlink ref="F1284" r:id="rId1743" xr:uid="{00000000-0004-0000-0200-0000CE060000}"/>
    <hyperlink ref="R1284" r:id="rId1744" xr:uid="{00000000-0004-0000-0200-0000CF060000}"/>
    <hyperlink ref="S1284" r:id="rId1745" xr:uid="{00000000-0004-0000-0200-0000D0060000}"/>
    <hyperlink ref="F1286" r:id="rId1746" xr:uid="{00000000-0004-0000-0200-0000D1060000}"/>
    <hyperlink ref="S1286" r:id="rId1747" xr:uid="{00000000-0004-0000-0200-0000D2060000}"/>
    <hyperlink ref="F1288" r:id="rId1748" xr:uid="{00000000-0004-0000-0200-0000D3060000}"/>
    <hyperlink ref="S1288" r:id="rId1749" xr:uid="{00000000-0004-0000-0200-0000D4060000}"/>
    <hyperlink ref="F1289" r:id="rId1750" xr:uid="{00000000-0004-0000-0200-0000D5060000}"/>
    <hyperlink ref="C1290" r:id="rId1751" xr:uid="{00000000-0004-0000-0200-0000D6060000}"/>
    <hyperlink ref="F1290" r:id="rId1752" xr:uid="{00000000-0004-0000-0200-0000D7060000}"/>
    <hyperlink ref="G1290" r:id="rId1753" xr:uid="{00000000-0004-0000-0200-0000D8060000}"/>
    <hyperlink ref="S1290" r:id="rId1754" xr:uid="{00000000-0004-0000-0200-0000D9060000}"/>
    <hyperlink ref="F1291" r:id="rId1755" xr:uid="{00000000-0004-0000-0200-0000DA060000}"/>
    <hyperlink ref="S1291" r:id="rId1756" xr:uid="{00000000-0004-0000-0200-0000DB060000}"/>
    <hyperlink ref="F1292" r:id="rId1757" xr:uid="{00000000-0004-0000-0200-0000DC060000}"/>
    <hyperlink ref="F1293" r:id="rId1758" xr:uid="{00000000-0004-0000-0200-0000DD060000}"/>
    <hyperlink ref="S1293" r:id="rId1759" xr:uid="{00000000-0004-0000-0200-0000DE060000}"/>
    <hyperlink ref="F1294" r:id="rId1760" xr:uid="{00000000-0004-0000-0200-0000DF060000}"/>
    <hyperlink ref="G1294" r:id="rId1761" xr:uid="{00000000-0004-0000-0200-0000E0060000}"/>
    <hyperlink ref="F1295" r:id="rId1762" xr:uid="{00000000-0004-0000-0200-0000E1060000}"/>
    <hyperlink ref="G1295" r:id="rId1763" xr:uid="{00000000-0004-0000-0200-0000E2060000}"/>
    <hyperlink ref="F1296" r:id="rId1764" xr:uid="{00000000-0004-0000-0200-0000E3060000}"/>
    <hyperlink ref="S1296" r:id="rId1765" xr:uid="{00000000-0004-0000-0200-0000E4060000}"/>
    <hyperlink ref="F1297" r:id="rId1766" xr:uid="{00000000-0004-0000-0200-0000E5060000}"/>
    <hyperlink ref="F1298" r:id="rId1767" xr:uid="{00000000-0004-0000-0200-0000E6060000}"/>
    <hyperlink ref="G1299" r:id="rId1768" xr:uid="{00000000-0004-0000-0200-0000E7060000}"/>
    <hyperlink ref="F1300" r:id="rId1769" xr:uid="{00000000-0004-0000-0200-0000E8060000}"/>
    <hyperlink ref="F1301" r:id="rId1770" xr:uid="{00000000-0004-0000-0200-0000E9060000}"/>
    <hyperlink ref="F1302" r:id="rId1771" xr:uid="{00000000-0004-0000-0200-0000EA060000}"/>
    <hyperlink ref="G1302" r:id="rId1772" xr:uid="{00000000-0004-0000-0200-0000EB060000}"/>
    <hyperlink ref="G1303" r:id="rId1773" xr:uid="{00000000-0004-0000-0200-0000EC060000}"/>
    <hyperlink ref="S1303" r:id="rId1774" xr:uid="{00000000-0004-0000-0200-0000ED060000}"/>
    <hyperlink ref="F1304" r:id="rId1775" xr:uid="{00000000-0004-0000-0200-0000EE060000}"/>
    <hyperlink ref="S1304" r:id="rId1776" xr:uid="{00000000-0004-0000-0200-0000EF060000}"/>
    <hyperlink ref="F1305" r:id="rId1777" xr:uid="{00000000-0004-0000-0200-0000F0060000}"/>
    <hyperlink ref="F1306" r:id="rId1778" xr:uid="{00000000-0004-0000-0200-0000F1060000}"/>
    <hyperlink ref="G1306" r:id="rId1779" xr:uid="{00000000-0004-0000-0200-0000F2060000}"/>
    <hyperlink ref="F1307" r:id="rId1780" xr:uid="{00000000-0004-0000-0200-0000F3060000}"/>
    <hyperlink ref="G1308" r:id="rId1781" xr:uid="{00000000-0004-0000-0200-0000F4060000}"/>
    <hyperlink ref="S1308" r:id="rId1782" xr:uid="{00000000-0004-0000-0200-0000F5060000}"/>
    <hyperlink ref="F1309" r:id="rId1783" location=".XApDzWksNKE.twitter" xr:uid="{00000000-0004-0000-0200-0000F6060000}"/>
    <hyperlink ref="F1310" r:id="rId1784" xr:uid="{00000000-0004-0000-0200-0000F7060000}"/>
    <hyperlink ref="G1311" r:id="rId1785" xr:uid="{00000000-0004-0000-0200-0000F8060000}"/>
    <hyperlink ref="F1312" r:id="rId1786" xr:uid="{00000000-0004-0000-0200-0000F9060000}"/>
    <hyperlink ref="S1312" r:id="rId1787" xr:uid="{00000000-0004-0000-0200-0000FA060000}"/>
    <hyperlink ref="S1313" r:id="rId1788" xr:uid="{00000000-0004-0000-0200-0000FB060000}"/>
    <hyperlink ref="F1314" r:id="rId1789" xr:uid="{00000000-0004-0000-0200-0000FC060000}"/>
    <hyperlink ref="G1315" r:id="rId1790" xr:uid="{00000000-0004-0000-0200-0000FD060000}"/>
    <hyperlink ref="S1315" r:id="rId1791" xr:uid="{00000000-0004-0000-0200-0000FE060000}"/>
    <hyperlink ref="F1316" r:id="rId1792" xr:uid="{00000000-0004-0000-0200-0000FF060000}"/>
    <hyperlink ref="G1316" r:id="rId1793" xr:uid="{00000000-0004-0000-0200-000000070000}"/>
    <hyperlink ref="S1316" r:id="rId1794" xr:uid="{00000000-0004-0000-0200-000001070000}"/>
    <hyperlink ref="F1318" r:id="rId1795" xr:uid="{00000000-0004-0000-0200-000002070000}"/>
    <hyperlink ref="F1319" r:id="rId1796" xr:uid="{00000000-0004-0000-0200-000003070000}"/>
    <hyperlink ref="F1320" r:id="rId1797" xr:uid="{00000000-0004-0000-0200-000004070000}"/>
    <hyperlink ref="F1322" r:id="rId1798" xr:uid="{00000000-0004-0000-0200-000005070000}"/>
    <hyperlink ref="F1323" r:id="rId1799" xr:uid="{00000000-0004-0000-0200-000006070000}"/>
    <hyperlink ref="S1323" r:id="rId1800" xr:uid="{00000000-0004-0000-0200-000007070000}"/>
    <hyperlink ref="F1324" r:id="rId1801" location=".XApASa38Ys8.twitter" xr:uid="{00000000-0004-0000-0200-000008070000}"/>
    <hyperlink ref="F1325" r:id="rId1802" xr:uid="{00000000-0004-0000-0200-000009070000}"/>
    <hyperlink ref="S1326" r:id="rId1803" xr:uid="{00000000-0004-0000-0200-00000A070000}"/>
    <hyperlink ref="F1327" r:id="rId1804" xr:uid="{00000000-0004-0000-0200-00000B070000}"/>
    <hyperlink ref="S1327" r:id="rId1805" xr:uid="{00000000-0004-0000-0200-00000C070000}"/>
    <hyperlink ref="F1328" r:id="rId1806" xr:uid="{00000000-0004-0000-0200-00000D070000}"/>
    <hyperlink ref="S1328" r:id="rId1807" xr:uid="{00000000-0004-0000-0200-00000E070000}"/>
    <hyperlink ref="F1329" r:id="rId1808" xr:uid="{00000000-0004-0000-0200-00000F070000}"/>
    <hyperlink ref="F1330" r:id="rId1809" xr:uid="{00000000-0004-0000-0200-000010070000}"/>
    <hyperlink ref="S1330" r:id="rId1810" xr:uid="{00000000-0004-0000-0200-000011070000}"/>
    <hyperlink ref="F1331" r:id="rId1811" location=".XAo-3InaXrE.twitter" xr:uid="{00000000-0004-0000-0200-000012070000}"/>
    <hyperlink ref="S1331" r:id="rId1812" xr:uid="{00000000-0004-0000-0200-000013070000}"/>
    <hyperlink ref="F1332" r:id="rId1813" xr:uid="{00000000-0004-0000-0200-000014070000}"/>
    <hyperlink ref="F1333" r:id="rId1814" xr:uid="{00000000-0004-0000-0200-000015070000}"/>
    <hyperlink ref="S1333" r:id="rId1815" xr:uid="{00000000-0004-0000-0200-000016070000}"/>
    <hyperlink ref="F1334" r:id="rId1816" xr:uid="{00000000-0004-0000-0200-000017070000}"/>
    <hyperlink ref="F1335" r:id="rId1817" location=".XAo_AxFd8Cg.twitter" xr:uid="{00000000-0004-0000-0200-000018070000}"/>
    <hyperlink ref="S1336" r:id="rId1818" xr:uid="{00000000-0004-0000-0200-000019070000}"/>
    <hyperlink ref="F1337" r:id="rId1819" location=".XAo9h1mc3zk.twitter" xr:uid="{00000000-0004-0000-0200-00001A070000}"/>
    <hyperlink ref="S1337" r:id="rId1820" xr:uid="{00000000-0004-0000-0200-00001B070000}"/>
    <hyperlink ref="F1338" r:id="rId1821" xr:uid="{00000000-0004-0000-0200-00001C070000}"/>
    <hyperlink ref="F1339" r:id="rId1822" xr:uid="{00000000-0004-0000-0200-00001D070000}"/>
    <hyperlink ref="S1339" r:id="rId1823" xr:uid="{00000000-0004-0000-0200-00001E070000}"/>
    <hyperlink ref="F1341" r:id="rId1824" xr:uid="{00000000-0004-0000-0200-00001F070000}"/>
    <hyperlink ref="S1341" r:id="rId1825" xr:uid="{00000000-0004-0000-0200-000020070000}"/>
    <hyperlink ref="F1343" r:id="rId1826" xr:uid="{00000000-0004-0000-0200-000021070000}"/>
    <hyperlink ref="F1344" r:id="rId1827" xr:uid="{00000000-0004-0000-0200-000022070000}"/>
    <hyperlink ref="G1344" r:id="rId1828" xr:uid="{00000000-0004-0000-0200-000023070000}"/>
    <hyperlink ref="F1345" r:id="rId1829" xr:uid="{00000000-0004-0000-0200-000024070000}"/>
    <hyperlink ref="G1345" r:id="rId1830" xr:uid="{00000000-0004-0000-0200-000025070000}"/>
    <hyperlink ref="S1345" r:id="rId1831" xr:uid="{00000000-0004-0000-0200-000026070000}"/>
    <hyperlink ref="F1346" r:id="rId1832" xr:uid="{00000000-0004-0000-0200-000027070000}"/>
    <hyperlink ref="G1346" r:id="rId1833" xr:uid="{00000000-0004-0000-0200-000028070000}"/>
    <hyperlink ref="F1347" r:id="rId1834" xr:uid="{00000000-0004-0000-0200-000029070000}"/>
    <hyperlink ref="G1347" r:id="rId1835" xr:uid="{00000000-0004-0000-0200-00002A070000}"/>
    <hyperlink ref="G1349" r:id="rId1836" xr:uid="{00000000-0004-0000-0200-00002B070000}"/>
    <hyperlink ref="S1349" r:id="rId1837" xr:uid="{00000000-0004-0000-0200-00002C070000}"/>
    <hyperlink ref="F1350" r:id="rId1838" xr:uid="{00000000-0004-0000-0200-00002D070000}"/>
    <hyperlink ref="S1350" r:id="rId1839" xr:uid="{00000000-0004-0000-0200-00002E070000}"/>
    <hyperlink ref="F1351" r:id="rId1840" xr:uid="{00000000-0004-0000-0200-00002F070000}"/>
    <hyperlink ref="G1351" r:id="rId1841" xr:uid="{00000000-0004-0000-0200-000030070000}"/>
    <hyperlink ref="S1351" r:id="rId1842" xr:uid="{00000000-0004-0000-0200-000031070000}"/>
    <hyperlink ref="F1352" r:id="rId1843" xr:uid="{00000000-0004-0000-0200-000032070000}"/>
    <hyperlink ref="S1352" r:id="rId1844" xr:uid="{00000000-0004-0000-0200-000033070000}"/>
    <hyperlink ref="C1353" r:id="rId1845" xr:uid="{00000000-0004-0000-0200-000034070000}"/>
    <hyperlink ref="F1353" r:id="rId1846" xr:uid="{00000000-0004-0000-0200-000035070000}"/>
    <hyperlink ref="S1353" r:id="rId1847" xr:uid="{00000000-0004-0000-0200-000036070000}"/>
    <hyperlink ref="F1354" r:id="rId1848" location="ns_campaign=jcbt&amp;ns_mchannel=diariosur&amp;ns_source=tw&amp;ns_linkname=ltl&amp;1544174152" xr:uid="{00000000-0004-0000-0200-000037070000}"/>
    <hyperlink ref="G1355" r:id="rId1849" xr:uid="{00000000-0004-0000-0200-000038070000}"/>
    <hyperlink ref="F1358" r:id="rId1850" xr:uid="{00000000-0004-0000-0200-000039070000}"/>
    <hyperlink ref="F1359" r:id="rId1851" location=".XAo5s5kyIR4.twitter" xr:uid="{00000000-0004-0000-0200-00003A070000}"/>
    <hyperlink ref="F1361" r:id="rId1852" xr:uid="{00000000-0004-0000-0200-00003B070000}"/>
    <hyperlink ref="S1361" r:id="rId1853" xr:uid="{00000000-0004-0000-0200-00003C070000}"/>
    <hyperlink ref="F1362" r:id="rId1854" xr:uid="{00000000-0004-0000-0200-00003D070000}"/>
    <hyperlink ref="F1364" r:id="rId1855" xr:uid="{00000000-0004-0000-0200-00003E070000}"/>
    <hyperlink ref="F1366" r:id="rId1856" xr:uid="{00000000-0004-0000-0200-00003F070000}"/>
    <hyperlink ref="F1368" r:id="rId1857" xr:uid="{00000000-0004-0000-0200-000040070000}"/>
    <hyperlink ref="F1370" r:id="rId1858" location=".XAo4B-53ReI.twitter" xr:uid="{00000000-0004-0000-0200-000041070000}"/>
    <hyperlink ref="S1370" r:id="rId1859" xr:uid="{00000000-0004-0000-0200-000042070000}"/>
    <hyperlink ref="F1371" r:id="rId1860" xr:uid="{00000000-0004-0000-0200-000043070000}"/>
    <hyperlink ref="S1371" r:id="rId1861" xr:uid="{00000000-0004-0000-0200-000044070000}"/>
    <hyperlink ref="F1372" r:id="rId1862" xr:uid="{00000000-0004-0000-0200-000045070000}"/>
    <hyperlink ref="S1372" r:id="rId1863" xr:uid="{00000000-0004-0000-0200-000046070000}"/>
    <hyperlink ref="F1373" r:id="rId1864" xr:uid="{00000000-0004-0000-0200-000047070000}"/>
    <hyperlink ref="F1374" r:id="rId1865" xr:uid="{00000000-0004-0000-0200-000048070000}"/>
    <hyperlink ref="S1374" r:id="rId1866" xr:uid="{00000000-0004-0000-0200-000049070000}"/>
    <hyperlink ref="F1375" r:id="rId1867" xr:uid="{00000000-0004-0000-0200-00004A070000}"/>
    <hyperlink ref="G1375" r:id="rId1868" xr:uid="{00000000-0004-0000-0200-00004B070000}"/>
    <hyperlink ref="S1375" r:id="rId1869" xr:uid="{00000000-0004-0000-0200-00004C070000}"/>
    <hyperlink ref="F1376" r:id="rId1870" xr:uid="{00000000-0004-0000-0200-00004D070000}"/>
    <hyperlink ref="S1376" r:id="rId1871" xr:uid="{00000000-0004-0000-0200-00004E070000}"/>
    <hyperlink ref="F1377" r:id="rId1872" xr:uid="{00000000-0004-0000-0200-00004F070000}"/>
    <hyperlink ref="F1378" r:id="rId1873" xr:uid="{00000000-0004-0000-0200-000050070000}"/>
    <hyperlink ref="F1379" r:id="rId1874" location="Echobox=1544167062" xr:uid="{00000000-0004-0000-0200-000051070000}"/>
    <hyperlink ref="F1380" r:id="rId1875" xr:uid="{00000000-0004-0000-0200-000052070000}"/>
    <hyperlink ref="S1380" r:id="rId1876" xr:uid="{00000000-0004-0000-0200-000053070000}"/>
    <hyperlink ref="F1382" r:id="rId1877" xr:uid="{00000000-0004-0000-0200-000054070000}"/>
    <hyperlink ref="F1384" r:id="rId1878" xr:uid="{00000000-0004-0000-0200-000055070000}"/>
    <hyperlink ref="F1385" r:id="rId1879" xr:uid="{00000000-0004-0000-0200-000056070000}"/>
    <hyperlink ref="G1385" r:id="rId1880" xr:uid="{00000000-0004-0000-0200-000057070000}"/>
    <hyperlink ref="F1386" r:id="rId1881" xr:uid="{00000000-0004-0000-0200-000058070000}"/>
    <hyperlink ref="S1386" r:id="rId1882" xr:uid="{00000000-0004-0000-0200-000059070000}"/>
    <hyperlink ref="F1387" r:id="rId1883" xr:uid="{00000000-0004-0000-0200-00005A070000}"/>
    <hyperlink ref="S1387" r:id="rId1884" xr:uid="{00000000-0004-0000-0200-00005B070000}"/>
    <hyperlink ref="F1389" r:id="rId1885" xr:uid="{00000000-0004-0000-0200-00005C070000}"/>
    <hyperlink ref="G1389" r:id="rId1886" xr:uid="{00000000-0004-0000-0200-00005D070000}"/>
    <hyperlink ref="F1391" r:id="rId1887" xr:uid="{00000000-0004-0000-0200-00005E070000}"/>
    <hyperlink ref="S1392" r:id="rId1888" xr:uid="{00000000-0004-0000-0200-00005F070000}"/>
    <hyperlink ref="F1393" r:id="rId1889" xr:uid="{00000000-0004-0000-0200-000060070000}"/>
    <hyperlink ref="S1393" r:id="rId1890" xr:uid="{00000000-0004-0000-0200-000061070000}"/>
    <hyperlink ref="G1394" r:id="rId1891" xr:uid="{00000000-0004-0000-0200-000062070000}"/>
    <hyperlink ref="F1397" r:id="rId1892" xr:uid="{00000000-0004-0000-0200-000063070000}"/>
    <hyperlink ref="S1397" r:id="rId1893" xr:uid="{00000000-0004-0000-0200-000064070000}"/>
    <hyperlink ref="F1398" r:id="rId1894" xr:uid="{00000000-0004-0000-0200-000065070000}"/>
    <hyperlink ref="F1399" r:id="rId1895" xr:uid="{00000000-0004-0000-0200-000066070000}"/>
    <hyperlink ref="S1399" r:id="rId1896" xr:uid="{00000000-0004-0000-0200-000067070000}"/>
    <hyperlink ref="F1403" r:id="rId1897" location=".XAoxXRIsJEI.twitter" xr:uid="{00000000-0004-0000-0200-000068070000}"/>
    <hyperlink ref="F1404" r:id="rId1898" xr:uid="{00000000-0004-0000-0200-000069070000}"/>
    <hyperlink ref="S1404" r:id="rId1899" xr:uid="{00000000-0004-0000-0200-00006A070000}"/>
    <hyperlink ref="F1405" r:id="rId1900" xr:uid="{00000000-0004-0000-0200-00006B070000}"/>
    <hyperlink ref="F1406" r:id="rId1901" location=".XAoxJGKB_ZQ.twitter" xr:uid="{00000000-0004-0000-0200-00006C070000}"/>
    <hyperlink ref="F1407" r:id="rId1902" xr:uid="{00000000-0004-0000-0200-00006D070000}"/>
    <hyperlink ref="F1408" r:id="rId1903" xr:uid="{00000000-0004-0000-0200-00006E070000}"/>
    <hyperlink ref="S1408" r:id="rId1904" xr:uid="{00000000-0004-0000-0200-00006F070000}"/>
    <hyperlink ref="F1413" r:id="rId1905" location=".XAowCaNovW4.twitter" xr:uid="{00000000-0004-0000-0200-000070070000}"/>
    <hyperlink ref="G1414" r:id="rId1906" xr:uid="{00000000-0004-0000-0200-000071070000}"/>
    <hyperlink ref="S1414" r:id="rId1907" xr:uid="{00000000-0004-0000-0200-000072070000}"/>
    <hyperlink ref="G1415" r:id="rId1908" xr:uid="{00000000-0004-0000-0200-000073070000}"/>
    <hyperlink ref="F1416" r:id="rId1909" location=".XAovJCQ2kUM.facebook" xr:uid="{00000000-0004-0000-0200-000074070000}"/>
    <hyperlink ref="S1416" r:id="rId1910" xr:uid="{00000000-0004-0000-0200-000075070000}"/>
    <hyperlink ref="F1417" r:id="rId1911" xr:uid="{00000000-0004-0000-0200-000076070000}"/>
    <hyperlink ref="S1417" r:id="rId1912" xr:uid="{00000000-0004-0000-0200-000077070000}"/>
    <hyperlink ref="F1418" r:id="rId1913" xr:uid="{00000000-0004-0000-0200-000078070000}"/>
    <hyperlink ref="F1419" r:id="rId1914" xr:uid="{00000000-0004-0000-0200-000079070000}"/>
    <hyperlink ref="S1419" r:id="rId1915" xr:uid="{00000000-0004-0000-0200-00007A070000}"/>
    <hyperlink ref="F1420" r:id="rId1916" location=".XAovXIHtvj0.twitter" xr:uid="{00000000-0004-0000-0200-00007B070000}"/>
    <hyperlink ref="F1421" r:id="rId1917" xr:uid="{00000000-0004-0000-0200-00007C070000}"/>
    <hyperlink ref="F1422" r:id="rId1918" xr:uid="{00000000-0004-0000-0200-00007D070000}"/>
    <hyperlink ref="G1422" r:id="rId1919" xr:uid="{00000000-0004-0000-0200-00007E070000}"/>
    <hyperlink ref="F1423" r:id="rId1920" xr:uid="{00000000-0004-0000-0200-00007F070000}"/>
    <hyperlink ref="F1424" r:id="rId1921" xr:uid="{00000000-0004-0000-0200-000080070000}"/>
    <hyperlink ref="F1425" r:id="rId1922" xr:uid="{00000000-0004-0000-0200-000081070000}"/>
    <hyperlink ref="G1425" r:id="rId1923" xr:uid="{00000000-0004-0000-0200-000082070000}"/>
    <hyperlink ref="S1425" r:id="rId1924" xr:uid="{00000000-0004-0000-0200-000083070000}"/>
    <hyperlink ref="F1426" r:id="rId1925" xr:uid="{00000000-0004-0000-0200-000084070000}"/>
    <hyperlink ref="S1426" r:id="rId1926" xr:uid="{00000000-0004-0000-0200-000085070000}"/>
    <hyperlink ref="F1427" r:id="rId1927" xr:uid="{00000000-0004-0000-0200-000086070000}"/>
    <hyperlink ref="F1428" r:id="rId1928" location=".XAouQeLPbMc.twitter" xr:uid="{00000000-0004-0000-0200-000087070000}"/>
    <hyperlink ref="F1429" r:id="rId1929" location="Echobox=1544167554" xr:uid="{00000000-0004-0000-0200-000088070000}"/>
    <hyperlink ref="S1429" r:id="rId1930" xr:uid="{00000000-0004-0000-0200-000089070000}"/>
    <hyperlink ref="F1430" r:id="rId1931" xr:uid="{00000000-0004-0000-0200-00008A070000}"/>
    <hyperlink ref="S1430" r:id="rId1932" xr:uid="{00000000-0004-0000-0200-00008B070000}"/>
    <hyperlink ref="F1431" r:id="rId1933" location=".XAotU3bP9BM.twitter" xr:uid="{00000000-0004-0000-0200-00008C070000}"/>
    <hyperlink ref="F1432" r:id="rId1934" location="xtor=AD-15&amp;xts=467263" xr:uid="{00000000-0004-0000-0200-00008D070000}"/>
    <hyperlink ref="F1433" r:id="rId1935" xr:uid="{00000000-0004-0000-0200-00008E070000}"/>
    <hyperlink ref="F1434" r:id="rId1936" xr:uid="{00000000-0004-0000-0200-00008F070000}"/>
    <hyperlink ref="F1435" r:id="rId1937" xr:uid="{00000000-0004-0000-0200-000090070000}"/>
    <hyperlink ref="S1435" r:id="rId1938" xr:uid="{00000000-0004-0000-0200-000091070000}"/>
    <hyperlink ref="F1437" r:id="rId1939" xr:uid="{00000000-0004-0000-0200-000092070000}"/>
    <hyperlink ref="S1437" r:id="rId1940" xr:uid="{00000000-0004-0000-0200-000093070000}"/>
    <hyperlink ref="F1438" r:id="rId1941" location="ns_campaign=rrss-inducido&amp;ns_mchannel=abc-es&amp;ns_source=tw&amp;ns_linkname=noticia-video&amp;ns_fee=0" xr:uid="{00000000-0004-0000-0200-000094070000}"/>
    <hyperlink ref="F1439" r:id="rId1942" xr:uid="{00000000-0004-0000-0200-000095070000}"/>
    <hyperlink ref="F1440" r:id="rId1943" xr:uid="{00000000-0004-0000-0200-000096070000}"/>
    <hyperlink ref="S1440" r:id="rId1944" xr:uid="{00000000-0004-0000-0200-000097070000}"/>
    <hyperlink ref="F1442" r:id="rId1945" xr:uid="{00000000-0004-0000-0200-000098070000}"/>
    <hyperlink ref="F1444" r:id="rId1946" xr:uid="{00000000-0004-0000-0200-000099070000}"/>
    <hyperlink ref="F1445" r:id="rId1947" xr:uid="{00000000-0004-0000-0200-00009A070000}"/>
    <hyperlink ref="F1446" r:id="rId1948" xr:uid="{00000000-0004-0000-0200-00009B070000}"/>
    <hyperlink ref="G1446" r:id="rId1949" xr:uid="{00000000-0004-0000-0200-00009C070000}"/>
    <hyperlink ref="F1447" r:id="rId1950" xr:uid="{00000000-0004-0000-0200-00009D070000}"/>
    <hyperlink ref="G1447" r:id="rId1951" xr:uid="{00000000-0004-0000-0200-00009E070000}"/>
    <hyperlink ref="F1449" r:id="rId1952" xr:uid="{00000000-0004-0000-0200-00009F070000}"/>
    <hyperlink ref="S1449" r:id="rId1953" xr:uid="{00000000-0004-0000-0200-0000A0070000}"/>
    <hyperlink ref="F1450" r:id="rId1954" xr:uid="{00000000-0004-0000-0200-0000A1070000}"/>
    <hyperlink ref="G1450" r:id="rId1955" xr:uid="{00000000-0004-0000-0200-0000A2070000}"/>
    <hyperlink ref="F1451" r:id="rId1956" xr:uid="{00000000-0004-0000-0200-0000A3070000}"/>
    <hyperlink ref="F1452" r:id="rId1957" xr:uid="{00000000-0004-0000-0200-0000A4070000}"/>
    <hyperlink ref="F1453" r:id="rId1958" xr:uid="{00000000-0004-0000-0200-0000A5070000}"/>
    <hyperlink ref="F1454" r:id="rId1959" xr:uid="{00000000-0004-0000-0200-0000A6070000}"/>
    <hyperlink ref="F1455" r:id="rId1960" location=".XAoofbp1LR0.twitter" xr:uid="{00000000-0004-0000-0200-0000A7070000}"/>
    <hyperlink ref="F1456" r:id="rId1961" xr:uid="{00000000-0004-0000-0200-0000A8070000}"/>
    <hyperlink ref="G1456" r:id="rId1962" xr:uid="{00000000-0004-0000-0200-0000A9070000}"/>
    <hyperlink ref="S1456" r:id="rId1963" xr:uid="{00000000-0004-0000-0200-0000AA070000}"/>
    <hyperlink ref="F1457" r:id="rId1964" xr:uid="{00000000-0004-0000-0200-0000AB070000}"/>
    <hyperlink ref="F1458" r:id="rId1965" xr:uid="{00000000-0004-0000-0200-0000AC070000}"/>
    <hyperlink ref="F1459" r:id="rId1966" xr:uid="{00000000-0004-0000-0200-0000AD070000}"/>
    <hyperlink ref="F1460" r:id="rId1967" xr:uid="{00000000-0004-0000-0200-0000AE070000}"/>
    <hyperlink ref="S1460" r:id="rId1968" xr:uid="{00000000-0004-0000-0200-0000AF070000}"/>
    <hyperlink ref="F1461" r:id="rId1969" xr:uid="{00000000-0004-0000-0200-0000B0070000}"/>
    <hyperlink ref="S1461" r:id="rId1970" xr:uid="{00000000-0004-0000-0200-0000B1070000}"/>
    <hyperlink ref="F1462" r:id="rId1971" xr:uid="{00000000-0004-0000-0200-0000B2070000}"/>
    <hyperlink ref="F1464" r:id="rId1972" xr:uid="{00000000-0004-0000-0200-0000B3070000}"/>
    <hyperlink ref="S1464" r:id="rId1973" xr:uid="{00000000-0004-0000-0200-0000B4070000}"/>
    <hyperlink ref="F1465" r:id="rId1974" xr:uid="{00000000-0004-0000-0200-0000B5070000}"/>
    <hyperlink ref="F1466" r:id="rId1975" xr:uid="{00000000-0004-0000-0200-0000B6070000}"/>
    <hyperlink ref="G1466" r:id="rId1976" xr:uid="{00000000-0004-0000-0200-0000B7070000}"/>
    <hyperlink ref="S1466" r:id="rId1977" xr:uid="{00000000-0004-0000-0200-0000B8070000}"/>
    <hyperlink ref="F1467" r:id="rId1978" xr:uid="{00000000-0004-0000-0200-0000B9070000}"/>
    <hyperlink ref="F1469" r:id="rId1979" xr:uid="{00000000-0004-0000-0200-0000BA070000}"/>
    <hyperlink ref="S1469" r:id="rId1980" xr:uid="{00000000-0004-0000-0200-0000BB070000}"/>
    <hyperlink ref="F1470" r:id="rId1981" xr:uid="{00000000-0004-0000-0200-0000BC070000}"/>
    <hyperlink ref="F1471" r:id="rId1982" xr:uid="{00000000-0004-0000-0200-0000BD070000}"/>
    <hyperlink ref="F1473" r:id="rId1983" xr:uid="{00000000-0004-0000-0200-0000BE070000}"/>
    <hyperlink ref="F1474" r:id="rId1984" xr:uid="{00000000-0004-0000-0200-0000BF070000}"/>
    <hyperlink ref="F1475" r:id="rId1985" xr:uid="{00000000-0004-0000-0200-0000C0070000}"/>
    <hyperlink ref="G1475" r:id="rId1986" xr:uid="{00000000-0004-0000-0200-0000C1070000}"/>
    <hyperlink ref="S1475" r:id="rId1987" xr:uid="{00000000-0004-0000-0200-0000C2070000}"/>
    <hyperlink ref="F1476" r:id="rId1988" xr:uid="{00000000-0004-0000-0200-0000C3070000}"/>
    <hyperlink ref="S1477" r:id="rId1989" xr:uid="{00000000-0004-0000-0200-0000C4070000}"/>
    <hyperlink ref="F1478" r:id="rId1990" xr:uid="{00000000-0004-0000-0200-0000C5070000}"/>
    <hyperlink ref="F1479" r:id="rId1991" location=".XAoirX5UyAA.twitter" xr:uid="{00000000-0004-0000-0200-0000C6070000}"/>
    <hyperlink ref="G1479" r:id="rId1992" xr:uid="{00000000-0004-0000-0200-0000C7070000}"/>
    <hyperlink ref="F1480" r:id="rId1993" xr:uid="{00000000-0004-0000-0200-0000C8070000}"/>
    <hyperlink ref="F1481" r:id="rId1994" xr:uid="{00000000-0004-0000-0200-0000C9070000}"/>
    <hyperlink ref="F1482" r:id="rId1995" xr:uid="{00000000-0004-0000-0200-0000CA070000}"/>
    <hyperlink ref="F1483" r:id="rId1996" xr:uid="{00000000-0004-0000-0200-0000CB070000}"/>
    <hyperlink ref="S1483" r:id="rId1997" xr:uid="{00000000-0004-0000-0200-0000CC070000}"/>
    <hyperlink ref="F1484" r:id="rId1998" xr:uid="{00000000-0004-0000-0200-0000CD070000}"/>
    <hyperlink ref="G1484" r:id="rId1999" xr:uid="{00000000-0004-0000-0200-0000CE070000}"/>
    <hyperlink ref="S1484" r:id="rId2000" xr:uid="{00000000-0004-0000-0200-0000CF070000}"/>
    <hyperlink ref="F1485" r:id="rId2001" xr:uid="{00000000-0004-0000-0200-0000D0070000}"/>
    <hyperlink ref="F1486" r:id="rId2002" xr:uid="{00000000-0004-0000-0200-0000D1070000}"/>
    <hyperlink ref="G1486" r:id="rId2003" xr:uid="{00000000-0004-0000-0200-0000D2070000}"/>
    <hyperlink ref="F1487" r:id="rId2004" xr:uid="{00000000-0004-0000-0200-0000D3070000}"/>
    <hyperlink ref="S1488" r:id="rId2005" xr:uid="{00000000-0004-0000-0200-0000D4070000}"/>
    <hyperlink ref="F1489" r:id="rId2006" xr:uid="{00000000-0004-0000-0200-0000D5070000}"/>
    <hyperlink ref="F1490" r:id="rId2007" xr:uid="{00000000-0004-0000-0200-0000D6070000}"/>
    <hyperlink ref="F1491" r:id="rId2008" xr:uid="{00000000-0004-0000-0200-0000D7070000}"/>
    <hyperlink ref="F1492" r:id="rId2009" xr:uid="{00000000-0004-0000-0200-0000D8070000}"/>
    <hyperlink ref="F1493" r:id="rId2010" xr:uid="{00000000-0004-0000-0200-0000D9070000}"/>
    <hyperlink ref="F1494" r:id="rId2011" xr:uid="{00000000-0004-0000-0200-0000DA070000}"/>
    <hyperlink ref="S1494" r:id="rId2012" xr:uid="{00000000-0004-0000-0200-0000DB070000}"/>
    <hyperlink ref="F1495" r:id="rId2013" xr:uid="{00000000-0004-0000-0200-0000DC070000}"/>
    <hyperlink ref="F1497" r:id="rId2014" xr:uid="{00000000-0004-0000-0200-0000DD070000}"/>
    <hyperlink ref="F1498" r:id="rId2015" xr:uid="{00000000-0004-0000-0200-0000DE070000}"/>
    <hyperlink ref="S1498" r:id="rId2016" xr:uid="{00000000-0004-0000-0200-0000DF070000}"/>
    <hyperlink ref="F1499" r:id="rId2017" xr:uid="{00000000-0004-0000-0200-0000E0070000}"/>
    <hyperlink ref="F1500" r:id="rId2018" xr:uid="{00000000-0004-0000-0200-0000E1070000}"/>
    <hyperlink ref="S1500" r:id="rId2019" xr:uid="{00000000-0004-0000-0200-0000E2070000}"/>
    <hyperlink ref="F1502" r:id="rId2020" xr:uid="{00000000-0004-0000-0200-0000E3070000}"/>
    <hyperlink ref="G1502" r:id="rId2021" xr:uid="{00000000-0004-0000-0200-0000E4070000}"/>
    <hyperlink ref="F1503" r:id="rId2022" xr:uid="{00000000-0004-0000-0200-0000E5070000}"/>
    <hyperlink ref="S1503" r:id="rId2023" xr:uid="{00000000-0004-0000-0200-0000E6070000}"/>
    <hyperlink ref="F1504" r:id="rId2024" xr:uid="{00000000-0004-0000-0200-0000E7070000}"/>
    <hyperlink ref="S1504" r:id="rId2025" xr:uid="{00000000-0004-0000-0200-0000E8070000}"/>
    <hyperlink ref="F1505" r:id="rId2026" xr:uid="{00000000-0004-0000-0200-0000E9070000}"/>
    <hyperlink ref="G1505" r:id="rId2027" xr:uid="{00000000-0004-0000-0200-0000EA070000}"/>
    <hyperlink ref="S1505" r:id="rId2028" xr:uid="{00000000-0004-0000-0200-0000EB070000}"/>
    <hyperlink ref="F1506" r:id="rId2029" xr:uid="{00000000-0004-0000-0200-0000EC070000}"/>
    <hyperlink ref="F1507" r:id="rId2030" xr:uid="{00000000-0004-0000-0200-0000ED070000}"/>
    <hyperlink ref="F1508" r:id="rId2031" xr:uid="{00000000-0004-0000-0200-0000EE070000}"/>
    <hyperlink ref="F1509" r:id="rId2032" xr:uid="{00000000-0004-0000-0200-0000EF070000}"/>
    <hyperlink ref="F1510" r:id="rId2033" xr:uid="{00000000-0004-0000-0200-0000F0070000}"/>
    <hyperlink ref="F1511" r:id="rId2034" xr:uid="{00000000-0004-0000-0200-0000F1070000}"/>
    <hyperlink ref="S1511" r:id="rId2035" xr:uid="{00000000-0004-0000-0200-0000F2070000}"/>
    <hyperlink ref="F1512" r:id="rId2036" xr:uid="{00000000-0004-0000-0200-0000F3070000}"/>
    <hyperlink ref="S1512" r:id="rId2037" xr:uid="{00000000-0004-0000-0200-0000F4070000}"/>
    <hyperlink ref="F1513" r:id="rId2038" xr:uid="{00000000-0004-0000-0200-0000F5070000}"/>
    <hyperlink ref="S1513" r:id="rId2039" xr:uid="{00000000-0004-0000-0200-0000F6070000}"/>
    <hyperlink ref="F1514" r:id="rId2040" xr:uid="{00000000-0004-0000-0200-0000F7070000}"/>
    <hyperlink ref="G1514" r:id="rId2041" xr:uid="{00000000-0004-0000-0200-0000F8070000}"/>
    <hyperlink ref="F1515" r:id="rId2042" xr:uid="{00000000-0004-0000-0200-0000F9070000}"/>
    <hyperlink ref="G1515" r:id="rId2043" xr:uid="{00000000-0004-0000-0200-0000FA070000}"/>
    <hyperlink ref="F1516" r:id="rId2044" xr:uid="{00000000-0004-0000-0200-0000FB070000}"/>
    <hyperlink ref="F1517" r:id="rId2045" xr:uid="{00000000-0004-0000-0200-0000FC070000}"/>
    <hyperlink ref="G1517" r:id="rId2046" xr:uid="{00000000-0004-0000-0200-0000FD070000}"/>
    <hyperlink ref="S1517" r:id="rId2047" xr:uid="{00000000-0004-0000-0200-0000FE070000}"/>
    <hyperlink ref="G1518" r:id="rId2048" xr:uid="{00000000-0004-0000-0200-0000FF070000}"/>
    <hyperlink ref="S1518" r:id="rId2049" xr:uid="{00000000-0004-0000-0200-000000080000}"/>
    <hyperlink ref="F1519" r:id="rId2050" xr:uid="{00000000-0004-0000-0200-000001080000}"/>
    <hyperlink ref="G1519" r:id="rId2051" xr:uid="{00000000-0004-0000-0200-000002080000}"/>
    <hyperlink ref="S1519" r:id="rId2052" xr:uid="{00000000-0004-0000-0200-000003080000}"/>
    <hyperlink ref="F1520" r:id="rId2053" xr:uid="{00000000-0004-0000-0200-000004080000}"/>
    <hyperlink ref="G1520" r:id="rId2054" xr:uid="{00000000-0004-0000-0200-000005080000}"/>
    <hyperlink ref="G1521" r:id="rId2055" xr:uid="{00000000-0004-0000-0200-000006080000}"/>
    <hyperlink ref="F1522" r:id="rId2056" location=".XAoZRduvR4o.twitter" xr:uid="{00000000-0004-0000-0200-000007080000}"/>
    <hyperlink ref="F1523" r:id="rId2057" xr:uid="{00000000-0004-0000-0200-000008080000}"/>
    <hyperlink ref="S1523" r:id="rId2058" location="!/mercedes.mosquerabango.7?ref=bookmark" xr:uid="{00000000-0004-0000-0200-000009080000}"/>
    <hyperlink ref="F1524" r:id="rId2059" xr:uid="{00000000-0004-0000-0200-00000A080000}"/>
    <hyperlink ref="G1524" r:id="rId2060" xr:uid="{00000000-0004-0000-0200-00000B080000}"/>
    <hyperlink ref="S1524" r:id="rId2061" xr:uid="{00000000-0004-0000-0200-00000C080000}"/>
    <hyperlink ref="F1525" r:id="rId2062" xr:uid="{00000000-0004-0000-0200-00000D080000}"/>
    <hyperlink ref="F1526" r:id="rId2063" location=".XAoYdqdshXs.twitter" xr:uid="{00000000-0004-0000-0200-00000E080000}"/>
    <hyperlink ref="F1527" r:id="rId2064" xr:uid="{00000000-0004-0000-0200-00000F080000}"/>
    <hyperlink ref="S1527" r:id="rId2065" xr:uid="{00000000-0004-0000-0200-000010080000}"/>
    <hyperlink ref="F1529" r:id="rId2066" xr:uid="{00000000-0004-0000-0200-000011080000}"/>
    <hyperlink ref="F1530" r:id="rId2067" xr:uid="{00000000-0004-0000-0200-000012080000}"/>
    <hyperlink ref="G1530" r:id="rId2068" xr:uid="{00000000-0004-0000-0200-000013080000}"/>
    <hyperlink ref="S1530" r:id="rId2069" xr:uid="{00000000-0004-0000-0200-000014080000}"/>
    <hyperlink ref="F1531" r:id="rId2070" xr:uid="{00000000-0004-0000-0200-000015080000}"/>
    <hyperlink ref="G1531" r:id="rId2071" xr:uid="{00000000-0004-0000-0200-000016080000}"/>
    <hyperlink ref="S1531" r:id="rId2072" xr:uid="{00000000-0004-0000-0200-000017080000}"/>
    <hyperlink ref="F1532" r:id="rId2073" xr:uid="{00000000-0004-0000-0200-000018080000}"/>
    <hyperlink ref="F1533" r:id="rId2074" xr:uid="{00000000-0004-0000-0200-000019080000}"/>
    <hyperlink ref="S1535" r:id="rId2075" xr:uid="{00000000-0004-0000-0200-00001A080000}"/>
    <hyperlink ref="F1536" r:id="rId2076" xr:uid="{00000000-0004-0000-0200-00001B080000}"/>
    <hyperlink ref="G1536" r:id="rId2077" xr:uid="{00000000-0004-0000-0200-00001C080000}"/>
    <hyperlink ref="S1536" r:id="rId2078" xr:uid="{00000000-0004-0000-0200-00001D080000}"/>
    <hyperlink ref="F1537" r:id="rId2079" location=".XAoVzZyrT9M.twitter" xr:uid="{00000000-0004-0000-0200-00001E080000}"/>
    <hyperlink ref="S1537" r:id="rId2080" xr:uid="{00000000-0004-0000-0200-00001F080000}"/>
    <hyperlink ref="F1538" r:id="rId2081" xr:uid="{00000000-0004-0000-0200-000020080000}"/>
    <hyperlink ref="F1539" r:id="rId2082" xr:uid="{00000000-0004-0000-0200-000021080000}"/>
    <hyperlink ref="F1540" r:id="rId2083" location=".XAoVBbA0JjU.twitter" xr:uid="{00000000-0004-0000-0200-000022080000}"/>
    <hyperlink ref="F1541" r:id="rId2084" xr:uid="{00000000-0004-0000-0200-000023080000}"/>
    <hyperlink ref="F1542" r:id="rId2085" xr:uid="{00000000-0004-0000-0200-000024080000}"/>
    <hyperlink ref="G1542" r:id="rId2086" xr:uid="{00000000-0004-0000-0200-000025080000}"/>
    <hyperlink ref="S1542" r:id="rId2087" xr:uid="{00000000-0004-0000-0200-000026080000}"/>
    <hyperlink ref="F1543" r:id="rId2088" xr:uid="{00000000-0004-0000-0200-000027080000}"/>
    <hyperlink ref="G1543" r:id="rId2089" xr:uid="{00000000-0004-0000-0200-000028080000}"/>
    <hyperlink ref="S1544" r:id="rId2090" xr:uid="{00000000-0004-0000-0200-000029080000}"/>
    <hyperlink ref="F1545" r:id="rId2091" xr:uid="{00000000-0004-0000-0200-00002A080000}"/>
    <hyperlink ref="S1545" r:id="rId2092" xr:uid="{00000000-0004-0000-0200-00002B080000}"/>
    <hyperlink ref="F1546" r:id="rId2093" xr:uid="{00000000-0004-0000-0200-00002C080000}"/>
    <hyperlink ref="F1547" r:id="rId2094" xr:uid="{00000000-0004-0000-0200-00002D080000}"/>
    <hyperlink ref="S1547" r:id="rId2095" xr:uid="{00000000-0004-0000-0200-00002E080000}"/>
    <hyperlink ref="F1548" r:id="rId2096" xr:uid="{00000000-0004-0000-0200-00002F080000}"/>
    <hyperlink ref="S1548" r:id="rId2097" xr:uid="{00000000-0004-0000-0200-000030080000}"/>
    <hyperlink ref="F1549" r:id="rId2098" xr:uid="{00000000-0004-0000-0200-000031080000}"/>
    <hyperlink ref="G1549" r:id="rId2099" xr:uid="{00000000-0004-0000-0200-000032080000}"/>
    <hyperlink ref="S1549" r:id="rId2100" xr:uid="{00000000-0004-0000-0200-000033080000}"/>
    <hyperlink ref="F1550" r:id="rId2101" xr:uid="{00000000-0004-0000-0200-000034080000}"/>
    <hyperlink ref="S1550" r:id="rId2102" xr:uid="{00000000-0004-0000-0200-000035080000}"/>
    <hyperlink ref="F1552" r:id="rId2103" xr:uid="{00000000-0004-0000-0200-000036080000}"/>
    <hyperlink ref="G1552" r:id="rId2104" xr:uid="{00000000-0004-0000-0200-000037080000}"/>
    <hyperlink ref="S1552" r:id="rId2105" xr:uid="{00000000-0004-0000-0200-000038080000}"/>
    <hyperlink ref="C1553" r:id="rId2106" xr:uid="{00000000-0004-0000-0200-000039080000}"/>
    <hyperlink ref="F1553" r:id="rId2107" xr:uid="{00000000-0004-0000-0200-00003A080000}"/>
    <hyperlink ref="G1553" r:id="rId2108" xr:uid="{00000000-0004-0000-0200-00003B080000}"/>
    <hyperlink ref="S1553" r:id="rId2109" xr:uid="{00000000-0004-0000-0200-00003C080000}"/>
    <hyperlink ref="F1554" r:id="rId2110" xr:uid="{00000000-0004-0000-0200-00003D080000}"/>
    <hyperlink ref="G1554" r:id="rId2111" xr:uid="{00000000-0004-0000-0200-00003E080000}"/>
    <hyperlink ref="S1554" r:id="rId2112" xr:uid="{00000000-0004-0000-0200-00003F080000}"/>
    <hyperlink ref="F1556" r:id="rId2113" location=".XAoN8QsWcp8.twitter" xr:uid="{00000000-0004-0000-0200-000040080000}"/>
    <hyperlink ref="F1557" r:id="rId2114" location=".XAoNvdK9zCs.twitter" xr:uid="{00000000-0004-0000-0200-000041080000}"/>
    <hyperlink ref="G1558" r:id="rId2115" xr:uid="{00000000-0004-0000-0200-000042080000}"/>
    <hyperlink ref="F1559" r:id="rId2116" xr:uid="{00000000-0004-0000-0200-000043080000}"/>
    <hyperlink ref="F1560" r:id="rId2117" xr:uid="{00000000-0004-0000-0200-000044080000}"/>
    <hyperlink ref="S1560" r:id="rId2118" xr:uid="{00000000-0004-0000-0200-000045080000}"/>
    <hyperlink ref="F1561" r:id="rId2119" xr:uid="{00000000-0004-0000-0200-000046080000}"/>
    <hyperlink ref="F1562" r:id="rId2120" xr:uid="{00000000-0004-0000-0200-000047080000}"/>
    <hyperlink ref="F1563" r:id="rId2121" xr:uid="{00000000-0004-0000-0200-000048080000}"/>
    <hyperlink ref="F1564" r:id="rId2122" xr:uid="{00000000-0004-0000-0200-000049080000}"/>
    <hyperlink ref="F1565" r:id="rId2123" xr:uid="{00000000-0004-0000-0200-00004A080000}"/>
    <hyperlink ref="F1566" r:id="rId2124" xr:uid="{00000000-0004-0000-0200-00004B080000}"/>
    <hyperlink ref="F1568" r:id="rId2125" xr:uid="{00000000-0004-0000-0200-00004C080000}"/>
    <hyperlink ref="G1568" r:id="rId2126" xr:uid="{00000000-0004-0000-0200-00004D080000}"/>
    <hyperlink ref="S1568" r:id="rId2127" xr:uid="{00000000-0004-0000-0200-00004E080000}"/>
    <hyperlink ref="F1569" r:id="rId2128" xr:uid="{00000000-0004-0000-0200-00004F080000}"/>
    <hyperlink ref="F1570" r:id="rId2129" xr:uid="{00000000-0004-0000-0200-000050080000}"/>
    <hyperlink ref="F1571" r:id="rId2130" xr:uid="{00000000-0004-0000-0200-000051080000}"/>
    <hyperlink ref="G1571" r:id="rId2131" xr:uid="{00000000-0004-0000-0200-000052080000}"/>
    <hyperlink ref="S1571" r:id="rId2132" xr:uid="{00000000-0004-0000-0200-000053080000}"/>
    <hyperlink ref="C1572" r:id="rId2133" xr:uid="{00000000-0004-0000-0200-000054080000}"/>
    <hyperlink ref="F1572" r:id="rId2134" xr:uid="{00000000-0004-0000-0200-000055080000}"/>
    <hyperlink ref="G1572" r:id="rId2135" xr:uid="{00000000-0004-0000-0200-000056080000}"/>
    <hyperlink ref="S1572" r:id="rId2136" xr:uid="{00000000-0004-0000-0200-000057080000}"/>
    <hyperlink ref="F1573" r:id="rId2137" xr:uid="{00000000-0004-0000-0200-000058080000}"/>
    <hyperlink ref="S1573" r:id="rId2138" xr:uid="{00000000-0004-0000-0200-000059080000}"/>
    <hyperlink ref="F1574" r:id="rId2139" xr:uid="{00000000-0004-0000-0200-00005A080000}"/>
    <hyperlink ref="G1575" r:id="rId2140" xr:uid="{00000000-0004-0000-0200-00005B080000}"/>
    <hyperlink ref="S1575" r:id="rId2141" xr:uid="{00000000-0004-0000-0200-00005C080000}"/>
    <hyperlink ref="G1576" r:id="rId2142" xr:uid="{00000000-0004-0000-0200-00005D080000}"/>
    <hyperlink ref="S1576" r:id="rId2143" xr:uid="{00000000-0004-0000-0200-00005E080000}"/>
    <hyperlink ref="G1577" r:id="rId2144" xr:uid="{00000000-0004-0000-0200-00005F080000}"/>
    <hyperlink ref="S1579" r:id="rId2145" xr:uid="{00000000-0004-0000-0200-000060080000}"/>
    <hyperlink ref="G1580" r:id="rId2146" xr:uid="{00000000-0004-0000-0200-000061080000}"/>
    <hyperlink ref="S1580" r:id="rId2147" xr:uid="{00000000-0004-0000-0200-000062080000}"/>
    <hyperlink ref="S1582" r:id="rId2148" xr:uid="{00000000-0004-0000-0200-000063080000}"/>
    <hyperlink ref="F1583" r:id="rId2149" xr:uid="{00000000-0004-0000-0200-000064080000}"/>
    <hyperlink ref="G1583" r:id="rId2150" xr:uid="{00000000-0004-0000-0200-000065080000}"/>
    <hyperlink ref="S1583" r:id="rId2151" xr:uid="{00000000-0004-0000-0200-000066080000}"/>
    <hyperlink ref="F1585" r:id="rId2152" xr:uid="{00000000-0004-0000-0200-000067080000}"/>
    <hyperlink ref="G1585" r:id="rId2153" xr:uid="{00000000-0004-0000-0200-000068080000}"/>
    <hyperlink ref="F1586" r:id="rId2154" xr:uid="{00000000-0004-0000-0200-000069080000}"/>
    <hyperlink ref="G1586" r:id="rId2155" xr:uid="{00000000-0004-0000-0200-00006A080000}"/>
    <hyperlink ref="F1588" r:id="rId2156" xr:uid="{00000000-0004-0000-0200-00006B080000}"/>
    <hyperlink ref="F1589" r:id="rId2157" location="ns_campaign=amp-rrss-inducido&amp;ns_mchannel=abc-es&amp;ns_source=tw&amp;ns_linkname=noticia.video&amp;ns_fee=0" xr:uid="{00000000-0004-0000-0200-00006C080000}"/>
    <hyperlink ref="F1590" r:id="rId2158" xr:uid="{00000000-0004-0000-0200-00006D080000}"/>
    <hyperlink ref="S1590" r:id="rId2159" xr:uid="{00000000-0004-0000-0200-00006E080000}"/>
    <hyperlink ref="C1591" r:id="rId2160" xr:uid="{00000000-0004-0000-0200-00006F080000}"/>
    <hyperlink ref="F1591" r:id="rId2161" xr:uid="{00000000-0004-0000-0200-000070080000}"/>
    <hyperlink ref="S1591" r:id="rId2162" xr:uid="{00000000-0004-0000-0200-000071080000}"/>
    <hyperlink ref="F1592" r:id="rId2163" xr:uid="{00000000-0004-0000-0200-000072080000}"/>
    <hyperlink ref="F1593" r:id="rId2164" xr:uid="{00000000-0004-0000-0200-000073080000}"/>
    <hyperlink ref="F1594" r:id="rId2165" xr:uid="{00000000-0004-0000-0200-000074080000}"/>
    <hyperlink ref="S1594" r:id="rId2166" xr:uid="{00000000-0004-0000-0200-000075080000}"/>
    <hyperlink ref="F1595" r:id="rId2167" xr:uid="{00000000-0004-0000-0200-000076080000}"/>
    <hyperlink ref="F1596" r:id="rId2168" xr:uid="{00000000-0004-0000-0200-000077080000}"/>
    <hyperlink ref="G1596" r:id="rId2169" xr:uid="{00000000-0004-0000-0200-000078080000}"/>
    <hyperlink ref="S1596" r:id="rId2170" xr:uid="{00000000-0004-0000-0200-000079080000}"/>
    <hyperlink ref="F1597" r:id="rId2171" xr:uid="{00000000-0004-0000-0200-00007A080000}"/>
    <hyperlink ref="S1597" r:id="rId2172" location="abelfranc/about" xr:uid="{00000000-0004-0000-0200-00007B080000}"/>
    <hyperlink ref="F1598" r:id="rId2173" xr:uid="{00000000-0004-0000-0200-00007C080000}"/>
    <hyperlink ref="G1598" r:id="rId2174" xr:uid="{00000000-0004-0000-0200-00007D080000}"/>
    <hyperlink ref="S1598" r:id="rId2175" xr:uid="{00000000-0004-0000-0200-00007E080000}"/>
    <hyperlink ref="F1599" r:id="rId2176" xr:uid="{00000000-0004-0000-0200-00007F080000}"/>
    <hyperlink ref="F1600" r:id="rId2177" xr:uid="{00000000-0004-0000-0200-000080080000}"/>
    <hyperlink ref="G1600" r:id="rId2178" xr:uid="{00000000-0004-0000-0200-000081080000}"/>
    <hyperlink ref="S1600" r:id="rId2179" xr:uid="{00000000-0004-0000-0200-000082080000}"/>
    <hyperlink ref="F1601" r:id="rId2180" xr:uid="{00000000-0004-0000-0200-000083080000}"/>
    <hyperlink ref="G1601" r:id="rId2181" xr:uid="{00000000-0004-0000-0200-000084080000}"/>
    <hyperlink ref="S1601" r:id="rId2182" xr:uid="{00000000-0004-0000-0200-000085080000}"/>
    <hyperlink ref="G1602" r:id="rId2183" xr:uid="{00000000-0004-0000-0200-000086080000}"/>
    <hyperlink ref="F1603" r:id="rId2184" xr:uid="{00000000-0004-0000-0200-000087080000}"/>
    <hyperlink ref="G1603" r:id="rId2185" xr:uid="{00000000-0004-0000-0200-000088080000}"/>
    <hyperlink ref="F1604" r:id="rId2186" xr:uid="{00000000-0004-0000-0200-000089080000}"/>
    <hyperlink ref="S1604" r:id="rId2187" xr:uid="{00000000-0004-0000-0200-00008A080000}"/>
    <hyperlink ref="F1606" r:id="rId2188" xr:uid="{00000000-0004-0000-0200-00008B080000}"/>
    <hyperlink ref="G1606" r:id="rId2189" xr:uid="{00000000-0004-0000-0200-00008C080000}"/>
    <hyperlink ref="S1606" r:id="rId2190" xr:uid="{00000000-0004-0000-0200-00008D080000}"/>
    <hyperlink ref="F1607" r:id="rId2191" xr:uid="{00000000-0004-0000-0200-00008E080000}"/>
    <hyperlink ref="G1607" r:id="rId2192" xr:uid="{00000000-0004-0000-0200-00008F080000}"/>
    <hyperlink ref="S1607" r:id="rId2193" xr:uid="{00000000-0004-0000-0200-000090080000}"/>
    <hyperlink ref="S1608" r:id="rId2194" xr:uid="{00000000-0004-0000-0200-000091080000}"/>
    <hyperlink ref="F1610" r:id="rId2195" xr:uid="{00000000-0004-0000-0200-000092080000}"/>
    <hyperlink ref="G1610" r:id="rId2196" xr:uid="{00000000-0004-0000-0200-000093080000}"/>
    <hyperlink ref="S1610" r:id="rId2197" xr:uid="{00000000-0004-0000-0200-000094080000}"/>
    <hyperlink ref="F1611" r:id="rId2198" location=".XAnI6MWjGA4.twitter" xr:uid="{00000000-0004-0000-0200-000095080000}"/>
    <hyperlink ref="F1612" r:id="rId2199" location="ns_campaign=rrss&amp;ns_mchannel=abc-es&amp;ns_source=tw&amp;ns_linkname=cm-automaticomundo&amp;ns_fee=0" xr:uid="{00000000-0004-0000-0200-000096080000}"/>
    <hyperlink ref="S1612" r:id="rId2200" xr:uid="{00000000-0004-0000-0200-000097080000}"/>
    <hyperlink ref="F1613" r:id="rId2201" xr:uid="{00000000-0004-0000-0200-000098080000}"/>
    <hyperlink ref="F1614" r:id="rId2202" xr:uid="{00000000-0004-0000-0200-000099080000}"/>
    <hyperlink ref="G1614" r:id="rId2203" xr:uid="{00000000-0004-0000-0200-00009A080000}"/>
    <hyperlink ref="S1614" r:id="rId2204" xr:uid="{00000000-0004-0000-0200-00009B080000}"/>
    <hyperlink ref="F1615" r:id="rId2205" xr:uid="{00000000-0004-0000-0200-00009C080000}"/>
    <hyperlink ref="F1616" r:id="rId2206" location="ns_campaign=rrss-inducido&amp;ns_mchannel=abc-es&amp;ns_source=tw&amp;ns_linkname=noticia-video&amp;ns_fee=0" xr:uid="{00000000-0004-0000-0200-00009D080000}"/>
    <hyperlink ref="F1617" r:id="rId2207" xr:uid="{00000000-0004-0000-0200-00009E080000}"/>
    <hyperlink ref="G1617" r:id="rId2208" xr:uid="{00000000-0004-0000-0200-00009F080000}"/>
    <hyperlink ref="S1617" r:id="rId2209" xr:uid="{00000000-0004-0000-0200-0000A0080000}"/>
    <hyperlink ref="F1618" r:id="rId2210" xr:uid="{00000000-0004-0000-0200-0000A1080000}"/>
    <hyperlink ref="G1618" r:id="rId2211" xr:uid="{00000000-0004-0000-0200-0000A2080000}"/>
    <hyperlink ref="S1618" r:id="rId2212" xr:uid="{00000000-0004-0000-0200-0000A3080000}"/>
    <hyperlink ref="F1619" r:id="rId2213" xr:uid="{00000000-0004-0000-0200-0000A4080000}"/>
    <hyperlink ref="F1620" r:id="rId2214" xr:uid="{00000000-0004-0000-0200-0000A5080000}"/>
    <hyperlink ref="F1623" r:id="rId2215" xr:uid="{00000000-0004-0000-0200-0000A6080000}"/>
    <hyperlink ref="S1623" r:id="rId2216" xr:uid="{00000000-0004-0000-0200-0000A7080000}"/>
    <hyperlink ref="F1624" r:id="rId2217" xr:uid="{00000000-0004-0000-0200-0000A8080000}"/>
    <hyperlink ref="G1624" r:id="rId2218" xr:uid="{00000000-0004-0000-0200-0000A9080000}"/>
    <hyperlink ref="F1625" r:id="rId2219" xr:uid="{00000000-0004-0000-0200-0000AA080000}"/>
    <hyperlink ref="G1625" r:id="rId2220" xr:uid="{00000000-0004-0000-0200-0000AB080000}"/>
    <hyperlink ref="F1626" r:id="rId2221" xr:uid="{00000000-0004-0000-0200-0000AC080000}"/>
    <hyperlink ref="G1626" r:id="rId2222" xr:uid="{00000000-0004-0000-0200-0000AD080000}"/>
    <hyperlink ref="S1626" r:id="rId2223" xr:uid="{00000000-0004-0000-0200-0000AE080000}"/>
    <hyperlink ref="F1630" r:id="rId2224" xr:uid="{00000000-0004-0000-0200-0000AF080000}"/>
    <hyperlink ref="F1633" r:id="rId2225" xr:uid="{00000000-0004-0000-0200-0000B0080000}"/>
    <hyperlink ref="G1633" r:id="rId2226" xr:uid="{00000000-0004-0000-0200-0000B1080000}"/>
    <hyperlink ref="S1633" r:id="rId2227" xr:uid="{00000000-0004-0000-0200-0000B2080000}"/>
    <hyperlink ref="G1634" r:id="rId2228" xr:uid="{00000000-0004-0000-0200-0000B3080000}"/>
    <hyperlink ref="S1634" r:id="rId2229" xr:uid="{00000000-0004-0000-0200-0000B4080000}"/>
    <hyperlink ref="F1635" r:id="rId2230" xr:uid="{00000000-0004-0000-0200-0000B5080000}"/>
    <hyperlink ref="F1637" r:id="rId2231" xr:uid="{00000000-0004-0000-0200-0000B6080000}"/>
    <hyperlink ref="S1638" r:id="rId2232" xr:uid="{00000000-0004-0000-0200-0000B7080000}"/>
    <hyperlink ref="F1639" r:id="rId2233" xr:uid="{00000000-0004-0000-0200-0000B8080000}"/>
    <hyperlink ref="F1640" r:id="rId2234" xr:uid="{00000000-0004-0000-0200-0000B9080000}"/>
    <hyperlink ref="F1641" r:id="rId2235" xr:uid="{00000000-0004-0000-0200-0000BA080000}"/>
    <hyperlink ref="F1642" r:id="rId2236" xr:uid="{00000000-0004-0000-0200-0000BB080000}"/>
    <hyperlink ref="F1643" r:id="rId2237" xr:uid="{00000000-0004-0000-0200-0000BC080000}"/>
    <hyperlink ref="F1644" r:id="rId2238" xr:uid="{00000000-0004-0000-0200-0000BD080000}"/>
    <hyperlink ref="F1646" r:id="rId2239" xr:uid="{00000000-0004-0000-0200-0000BE080000}"/>
    <hyperlink ref="F1647" r:id="rId2240" xr:uid="{00000000-0004-0000-0200-0000BF080000}"/>
    <hyperlink ref="F1648" r:id="rId2241" location="Echobox=1544139766" xr:uid="{00000000-0004-0000-0200-0000C0080000}"/>
    <hyperlink ref="S1648" r:id="rId2242" xr:uid="{00000000-0004-0000-0200-0000C1080000}"/>
    <hyperlink ref="F1650" r:id="rId2243" xr:uid="{00000000-0004-0000-0200-0000C2080000}"/>
    <hyperlink ref="G1650" r:id="rId2244" xr:uid="{00000000-0004-0000-0200-0000C3080000}"/>
    <hyperlink ref="S1650" r:id="rId2245" xr:uid="{00000000-0004-0000-0200-0000C4080000}"/>
    <hyperlink ref="F1651" r:id="rId2246" xr:uid="{00000000-0004-0000-0200-0000C5080000}"/>
    <hyperlink ref="G1651" r:id="rId2247" xr:uid="{00000000-0004-0000-0200-0000C6080000}"/>
    <hyperlink ref="F1653" r:id="rId2248" xr:uid="{00000000-0004-0000-0200-0000C7080000}"/>
    <hyperlink ref="S1653" r:id="rId2249" xr:uid="{00000000-0004-0000-0200-0000C8080000}"/>
    <hyperlink ref="G1654" r:id="rId2250" xr:uid="{00000000-0004-0000-0200-0000C9080000}"/>
    <hyperlink ref="F1655" r:id="rId2251" xr:uid="{00000000-0004-0000-0200-0000CA080000}"/>
    <hyperlink ref="S1655" r:id="rId2252" xr:uid="{00000000-0004-0000-0200-0000CB080000}"/>
    <hyperlink ref="F1656" r:id="rId2253" xr:uid="{00000000-0004-0000-0200-0000CC080000}"/>
    <hyperlink ref="S1656" r:id="rId2254" xr:uid="{00000000-0004-0000-0200-0000CD080000}"/>
    <hyperlink ref="F1658" r:id="rId2255" xr:uid="{00000000-0004-0000-0200-0000CE080000}"/>
    <hyperlink ref="F1659" r:id="rId2256" xr:uid="{00000000-0004-0000-0200-0000CF080000}"/>
    <hyperlink ref="F1660" r:id="rId2257" xr:uid="{00000000-0004-0000-0200-0000D0080000}"/>
    <hyperlink ref="F1662" r:id="rId2258" xr:uid="{00000000-0004-0000-0200-0000D1080000}"/>
    <hyperlink ref="S1662" r:id="rId2259" xr:uid="{00000000-0004-0000-0200-0000D2080000}"/>
    <hyperlink ref="F1663" r:id="rId2260" xr:uid="{00000000-0004-0000-0200-0000D3080000}"/>
    <hyperlink ref="G1663" r:id="rId2261" xr:uid="{00000000-0004-0000-0200-0000D4080000}"/>
    <hyperlink ref="S1663" r:id="rId2262" xr:uid="{00000000-0004-0000-0200-0000D5080000}"/>
    <hyperlink ref="F1664" r:id="rId2263" xr:uid="{00000000-0004-0000-0200-0000D6080000}"/>
    <hyperlink ref="R1664" r:id="rId2264" xr:uid="{00000000-0004-0000-0200-0000D7080000}"/>
    <hyperlink ref="S1664" r:id="rId2265" xr:uid="{00000000-0004-0000-0200-0000D8080000}"/>
    <hyperlink ref="C1665" r:id="rId2266" xr:uid="{00000000-0004-0000-0200-0000D9080000}"/>
    <hyperlink ref="S1665" r:id="rId2267" xr:uid="{00000000-0004-0000-0200-0000DA080000}"/>
    <hyperlink ref="F1666" r:id="rId2268" xr:uid="{00000000-0004-0000-0200-0000DB080000}"/>
    <hyperlink ref="S1666" r:id="rId2269" xr:uid="{00000000-0004-0000-0200-0000DC080000}"/>
    <hyperlink ref="F1667" r:id="rId2270" xr:uid="{00000000-0004-0000-0200-0000DD080000}"/>
    <hyperlink ref="S1667" r:id="rId2271" xr:uid="{00000000-0004-0000-0200-0000DE080000}"/>
    <hyperlink ref="F1668" r:id="rId2272" xr:uid="{00000000-0004-0000-0200-0000DF080000}"/>
    <hyperlink ref="G1668" r:id="rId2273" xr:uid="{00000000-0004-0000-0200-0000E0080000}"/>
    <hyperlink ref="S1668" r:id="rId2274" xr:uid="{00000000-0004-0000-0200-0000E1080000}"/>
    <hyperlink ref="F1669" r:id="rId2275" xr:uid="{00000000-0004-0000-0200-0000E2080000}"/>
    <hyperlink ref="S1669" r:id="rId2276" xr:uid="{00000000-0004-0000-0200-0000E3080000}"/>
    <hyperlink ref="F1670" r:id="rId2277" xr:uid="{00000000-0004-0000-0200-0000E4080000}"/>
    <hyperlink ref="S1670" r:id="rId2278" xr:uid="{00000000-0004-0000-0200-0000E5080000}"/>
    <hyperlink ref="F1671" r:id="rId2279" xr:uid="{00000000-0004-0000-0200-0000E6080000}"/>
    <hyperlink ref="F1673" r:id="rId2280" xr:uid="{00000000-0004-0000-0200-0000E7080000}"/>
    <hyperlink ref="S1673" r:id="rId2281" xr:uid="{00000000-0004-0000-0200-0000E8080000}"/>
    <hyperlink ref="F1674" r:id="rId2282" xr:uid="{00000000-0004-0000-0200-0000E9080000}"/>
    <hyperlink ref="F1677" r:id="rId2283" xr:uid="{00000000-0004-0000-0200-0000EA080000}"/>
    <hyperlink ref="G1677" r:id="rId2284" xr:uid="{00000000-0004-0000-0200-0000EB080000}"/>
    <hyperlink ref="F1678" r:id="rId2285" xr:uid="{00000000-0004-0000-0200-0000EC080000}"/>
    <hyperlink ref="S1678" r:id="rId2286" xr:uid="{00000000-0004-0000-0200-0000ED080000}"/>
    <hyperlink ref="C1679" r:id="rId2287" xr:uid="{00000000-0004-0000-0200-0000EE080000}"/>
    <hyperlink ref="F1679" r:id="rId2288" xr:uid="{00000000-0004-0000-0200-0000EF080000}"/>
    <hyperlink ref="S1679" r:id="rId2289" xr:uid="{00000000-0004-0000-0200-0000F0080000}"/>
    <hyperlink ref="F1680" r:id="rId2290" location="ns_campaign=rrss-inducido&amp;ns_mchannel=abc-es&amp;ns_source=tw&amp;ns_linkname=noticia-video&amp;ns_fee=0" xr:uid="{00000000-0004-0000-0200-0000F1080000}"/>
    <hyperlink ref="F1681" r:id="rId2291" xr:uid="{00000000-0004-0000-0200-0000F2080000}"/>
    <hyperlink ref="F1683" r:id="rId2292" xr:uid="{00000000-0004-0000-0200-0000F3080000}"/>
    <hyperlink ref="G1683" r:id="rId2293" xr:uid="{00000000-0004-0000-0200-0000F4080000}"/>
    <hyperlink ref="S1683" r:id="rId2294" xr:uid="{00000000-0004-0000-0200-0000F5080000}"/>
    <hyperlink ref="F1684" r:id="rId2295" xr:uid="{00000000-0004-0000-0200-0000F6080000}"/>
    <hyperlink ref="F1685" r:id="rId2296" xr:uid="{00000000-0004-0000-0200-0000F7080000}"/>
    <hyperlink ref="F1687" r:id="rId2297" xr:uid="{00000000-0004-0000-0200-0000F8080000}"/>
    <hyperlink ref="G1687" r:id="rId2298" xr:uid="{00000000-0004-0000-0200-0000F9080000}"/>
    <hyperlink ref="F1688" r:id="rId2299" xr:uid="{00000000-0004-0000-0200-0000FA080000}"/>
    <hyperlink ref="F1689" r:id="rId2300" xr:uid="{00000000-0004-0000-0200-0000FB080000}"/>
    <hyperlink ref="F1690" r:id="rId2301" xr:uid="{00000000-0004-0000-0200-0000FC080000}"/>
    <hyperlink ref="F1691" r:id="rId2302" location="ns_campaign=rrss-inducido&amp;ns_mchannel=abc-es&amp;ns_source=tw&amp;ns_linkname=noticia-video&amp;ns_fee=0" xr:uid="{00000000-0004-0000-0200-0000FD080000}"/>
    <hyperlink ref="G1692" r:id="rId2303" xr:uid="{00000000-0004-0000-0200-0000FE080000}"/>
    <hyperlink ref="F1693" r:id="rId2304" xr:uid="{00000000-0004-0000-0200-0000FF080000}"/>
    <hyperlink ref="F1694" r:id="rId2305" xr:uid="{00000000-0004-0000-0200-000000090000}"/>
    <hyperlink ref="F1695" r:id="rId2306" xr:uid="{00000000-0004-0000-0200-000001090000}"/>
    <hyperlink ref="S1695" r:id="rId2307" xr:uid="{00000000-0004-0000-0200-000002090000}"/>
    <hyperlink ref="F1696" r:id="rId2308" location="referrer=https%3A%2F%2Fwww.google.com&amp;amp_tf=De%20%251%24s&amp;ampshare=https%3A%2F%2Fokdiario.com%2Fespana%2F2018%2F12%2F06%2Fotegi-congrega-miles-personas-bilbao-manifestacion-favor-republica-vasca-3435809" xr:uid="{00000000-0004-0000-0200-000003090000}"/>
    <hyperlink ref="F1697" r:id="rId2309" xr:uid="{00000000-0004-0000-0200-000004090000}"/>
    <hyperlink ref="F1698" r:id="rId2310" xr:uid="{00000000-0004-0000-0200-000005090000}"/>
    <hyperlink ref="S1698" r:id="rId2311" xr:uid="{00000000-0004-0000-0200-000006090000}"/>
    <hyperlink ref="F1699" r:id="rId2312" xr:uid="{00000000-0004-0000-0200-000007090000}"/>
    <hyperlink ref="S1699" r:id="rId2313" xr:uid="{00000000-0004-0000-0200-000008090000}"/>
    <hyperlink ref="F1700" r:id="rId2314" xr:uid="{00000000-0004-0000-0200-000009090000}"/>
    <hyperlink ref="S1700" r:id="rId2315" xr:uid="{00000000-0004-0000-0200-00000A090000}"/>
    <hyperlink ref="F1701" r:id="rId2316" xr:uid="{00000000-0004-0000-0200-00000B090000}"/>
    <hyperlink ref="F1702" r:id="rId2317" xr:uid="{00000000-0004-0000-0200-00000C090000}"/>
    <hyperlink ref="G1702" r:id="rId2318" xr:uid="{00000000-0004-0000-0200-00000D090000}"/>
    <hyperlink ref="F1703" r:id="rId2319" xr:uid="{00000000-0004-0000-0200-00000E090000}"/>
    <hyperlink ref="S1703" r:id="rId2320" xr:uid="{00000000-0004-0000-0200-00000F090000}"/>
    <hyperlink ref="F1705" r:id="rId2321" xr:uid="{00000000-0004-0000-0200-000010090000}"/>
    <hyperlink ref="F1707" r:id="rId2322" xr:uid="{00000000-0004-0000-0200-000011090000}"/>
    <hyperlink ref="S1707" r:id="rId2323" xr:uid="{00000000-0004-0000-0200-000012090000}"/>
    <hyperlink ref="F1708" r:id="rId2324" xr:uid="{00000000-0004-0000-0200-000013090000}"/>
    <hyperlink ref="F1709" r:id="rId2325" xr:uid="{00000000-0004-0000-0200-000014090000}"/>
    <hyperlink ref="F1710" r:id="rId2326" xr:uid="{00000000-0004-0000-0200-000015090000}"/>
    <hyperlink ref="S1710" r:id="rId2327" xr:uid="{00000000-0004-0000-0200-000016090000}"/>
    <hyperlink ref="F1711" r:id="rId2328" xr:uid="{00000000-0004-0000-0200-000017090000}"/>
    <hyperlink ref="S1711" r:id="rId2329" xr:uid="{00000000-0004-0000-0200-000018090000}"/>
    <hyperlink ref="S1712" r:id="rId2330" xr:uid="{00000000-0004-0000-0200-000019090000}"/>
    <hyperlink ref="F1713" r:id="rId2331" xr:uid="{00000000-0004-0000-0200-00001A090000}"/>
    <hyperlink ref="F1714" r:id="rId2332" xr:uid="{00000000-0004-0000-0200-00001B090000}"/>
    <hyperlink ref="F1716" r:id="rId2333" xr:uid="{00000000-0004-0000-0200-00001C090000}"/>
    <hyperlink ref="S1716" r:id="rId2334" location="!/mercedes.mosquerabango.7?ref=bookmark" xr:uid="{00000000-0004-0000-0200-00001D090000}"/>
    <hyperlink ref="F1717" r:id="rId2335" xr:uid="{00000000-0004-0000-0200-00001E090000}"/>
    <hyperlink ref="F1718" r:id="rId2336" xr:uid="{00000000-0004-0000-0200-00001F090000}"/>
    <hyperlink ref="S1718" r:id="rId2337" xr:uid="{00000000-0004-0000-0200-000020090000}"/>
    <hyperlink ref="F1719" r:id="rId2338" xr:uid="{00000000-0004-0000-0200-000021090000}"/>
    <hyperlink ref="F1720" r:id="rId2339" xr:uid="{00000000-0004-0000-0200-000022090000}"/>
    <hyperlink ref="F1721" r:id="rId2340" xr:uid="{00000000-0004-0000-0200-000023090000}"/>
    <hyperlink ref="G1721" r:id="rId2341" xr:uid="{00000000-0004-0000-0200-000024090000}"/>
    <hyperlink ref="F1722" r:id="rId2342" xr:uid="{00000000-0004-0000-0200-000025090000}"/>
    <hyperlink ref="S1722" r:id="rId2343" xr:uid="{00000000-0004-0000-0200-000026090000}"/>
    <hyperlink ref="F1723" r:id="rId2344" xr:uid="{00000000-0004-0000-0200-000027090000}"/>
    <hyperlink ref="S1723" r:id="rId2345" xr:uid="{00000000-0004-0000-0200-000028090000}"/>
    <hyperlink ref="F1724" r:id="rId2346" xr:uid="{00000000-0004-0000-0200-000029090000}"/>
    <hyperlink ref="F1725" r:id="rId2347" xr:uid="{00000000-0004-0000-0200-00002A090000}"/>
    <hyperlink ref="F1726" r:id="rId2348" xr:uid="{00000000-0004-0000-0200-00002B090000}"/>
    <hyperlink ref="F1727" r:id="rId2349" xr:uid="{00000000-0004-0000-0200-00002C090000}"/>
    <hyperlink ref="F1729" r:id="rId2350" xr:uid="{00000000-0004-0000-0200-00002D090000}"/>
    <hyperlink ref="F1730" r:id="rId2351" xr:uid="{00000000-0004-0000-0200-00002E090000}"/>
    <hyperlink ref="S1732" r:id="rId2352" xr:uid="{00000000-0004-0000-0200-00002F090000}"/>
    <hyperlink ref="G1733" r:id="rId2353" xr:uid="{00000000-0004-0000-0200-000030090000}"/>
    <hyperlink ref="S1733" r:id="rId2354" xr:uid="{00000000-0004-0000-0200-000031090000}"/>
    <hyperlink ref="F1734" r:id="rId2355" xr:uid="{00000000-0004-0000-0200-000032090000}"/>
    <hyperlink ref="F1735" r:id="rId2356" xr:uid="{00000000-0004-0000-0200-000033090000}"/>
    <hyperlink ref="S1736" r:id="rId2357" xr:uid="{00000000-0004-0000-0200-000034090000}"/>
    <hyperlink ref="F1737" r:id="rId2358" xr:uid="{00000000-0004-0000-0200-000035090000}"/>
    <hyperlink ref="S1737" r:id="rId2359" xr:uid="{00000000-0004-0000-0200-000036090000}"/>
    <hyperlink ref="F1738" r:id="rId2360" xr:uid="{00000000-0004-0000-0200-000037090000}"/>
    <hyperlink ref="F1739" r:id="rId2361" xr:uid="{00000000-0004-0000-0200-000038090000}"/>
    <hyperlink ref="S1739" r:id="rId2362" xr:uid="{00000000-0004-0000-0200-000039090000}"/>
    <hyperlink ref="C1740" r:id="rId2363" xr:uid="{00000000-0004-0000-0200-00003A090000}"/>
    <hyperlink ref="F1740" r:id="rId2364" xr:uid="{00000000-0004-0000-0200-00003B090000}"/>
    <hyperlink ref="G1740" r:id="rId2365" xr:uid="{00000000-0004-0000-0200-00003C090000}"/>
    <hyperlink ref="S1740" r:id="rId2366" xr:uid="{00000000-0004-0000-0200-00003D090000}"/>
    <hyperlink ref="F1741" r:id="rId2367" xr:uid="{00000000-0004-0000-0200-00003E090000}"/>
    <hyperlink ref="G1741" r:id="rId2368" xr:uid="{00000000-0004-0000-0200-00003F090000}"/>
    <hyperlink ref="F1743" r:id="rId2369" xr:uid="{00000000-0004-0000-0200-000040090000}"/>
    <hyperlink ref="S1743" r:id="rId2370" xr:uid="{00000000-0004-0000-0200-000041090000}"/>
    <hyperlink ref="F1744" r:id="rId2371" xr:uid="{00000000-0004-0000-0200-000042090000}"/>
    <hyperlink ref="S1744" r:id="rId2372" xr:uid="{00000000-0004-0000-0200-000043090000}"/>
    <hyperlink ref="F1745" r:id="rId2373" xr:uid="{00000000-0004-0000-0200-000044090000}"/>
    <hyperlink ref="F1746" r:id="rId2374" xr:uid="{00000000-0004-0000-0200-000045090000}"/>
    <hyperlink ref="S1746" r:id="rId2375" xr:uid="{00000000-0004-0000-0200-000046090000}"/>
    <hyperlink ref="F1747" r:id="rId2376" xr:uid="{00000000-0004-0000-0200-000047090000}"/>
    <hyperlink ref="G1747" r:id="rId2377" xr:uid="{00000000-0004-0000-0200-000048090000}"/>
    <hyperlink ref="S1747" r:id="rId2378" xr:uid="{00000000-0004-0000-0200-000049090000}"/>
    <hyperlink ref="F1748" r:id="rId2379" xr:uid="{00000000-0004-0000-0200-00004A090000}"/>
    <hyperlink ref="G1748" r:id="rId2380" xr:uid="{00000000-0004-0000-0200-00004B090000}"/>
    <hyperlink ref="S1748" r:id="rId2381" xr:uid="{00000000-0004-0000-0200-00004C090000}"/>
    <hyperlink ref="F1749" r:id="rId2382" xr:uid="{00000000-0004-0000-0200-00004D090000}"/>
    <hyperlink ref="F1750" r:id="rId2383" xr:uid="{00000000-0004-0000-0200-00004E090000}"/>
    <hyperlink ref="G1750" r:id="rId2384" xr:uid="{00000000-0004-0000-0200-00004F090000}"/>
    <hyperlink ref="S1750" r:id="rId2385" xr:uid="{00000000-0004-0000-0200-000050090000}"/>
    <hyperlink ref="F1751" r:id="rId2386" xr:uid="{00000000-0004-0000-0200-000051090000}"/>
    <hyperlink ref="G1751" r:id="rId2387" xr:uid="{00000000-0004-0000-0200-000052090000}"/>
    <hyperlink ref="F1752" r:id="rId2388" xr:uid="{00000000-0004-0000-0200-000053090000}"/>
    <hyperlink ref="G1752" r:id="rId2389" xr:uid="{00000000-0004-0000-0200-000054090000}"/>
    <hyperlink ref="F1753" r:id="rId2390" xr:uid="{00000000-0004-0000-0200-000055090000}"/>
    <hyperlink ref="G1754" r:id="rId2391" xr:uid="{00000000-0004-0000-0200-000056090000}"/>
    <hyperlink ref="F1755" r:id="rId2392" xr:uid="{00000000-0004-0000-0200-000057090000}"/>
    <hyperlink ref="C1757" r:id="rId2393" xr:uid="{00000000-0004-0000-0200-000058090000}"/>
    <hyperlink ref="F1757" r:id="rId2394" xr:uid="{00000000-0004-0000-0200-000059090000}"/>
    <hyperlink ref="S1757" r:id="rId2395" xr:uid="{00000000-0004-0000-0200-00005A090000}"/>
    <hyperlink ref="F1758" r:id="rId2396" xr:uid="{00000000-0004-0000-0200-00005B090000}"/>
    <hyperlink ref="S1758" r:id="rId2397" xr:uid="{00000000-0004-0000-0200-00005C090000}"/>
    <hyperlink ref="F1759" r:id="rId2398" xr:uid="{00000000-0004-0000-0200-00005D090000}"/>
    <hyperlink ref="G1759" r:id="rId2399" xr:uid="{00000000-0004-0000-0200-00005E090000}"/>
    <hyperlink ref="S1759" r:id="rId2400" xr:uid="{00000000-0004-0000-0200-00005F090000}"/>
    <hyperlink ref="F1761" r:id="rId2401" xr:uid="{00000000-0004-0000-0200-000060090000}"/>
    <hyperlink ref="F1763" r:id="rId2402" location="ns_campaign=rrss-inducido&amp;ns_mchannel=abc-es&amp;ns_source=tw&amp;ns_linkname=noticia-video&amp;ns_fee=0" xr:uid="{00000000-0004-0000-0200-000061090000}"/>
    <hyperlink ref="F1764" r:id="rId2403" xr:uid="{00000000-0004-0000-0200-000062090000}"/>
    <hyperlink ref="F1765" r:id="rId2404" xr:uid="{00000000-0004-0000-0200-000063090000}"/>
    <hyperlink ref="F1766" r:id="rId2405" xr:uid="{00000000-0004-0000-0200-000064090000}"/>
    <hyperlink ref="G1766" r:id="rId2406" xr:uid="{00000000-0004-0000-0200-000065090000}"/>
    <hyperlink ref="F1767" r:id="rId2407" xr:uid="{00000000-0004-0000-0200-000066090000}"/>
    <hyperlink ref="C1768" r:id="rId2408" xr:uid="{00000000-0004-0000-0200-000067090000}"/>
    <hyperlink ref="F1768" r:id="rId2409" xr:uid="{00000000-0004-0000-0200-000068090000}"/>
    <hyperlink ref="G1768" r:id="rId2410" xr:uid="{00000000-0004-0000-0200-000069090000}"/>
    <hyperlink ref="S1768" r:id="rId2411" xr:uid="{00000000-0004-0000-0200-00006A090000}"/>
    <hyperlink ref="F1769" r:id="rId2412" xr:uid="{00000000-0004-0000-0200-00006B090000}"/>
    <hyperlink ref="S1769" r:id="rId2413" xr:uid="{00000000-0004-0000-0200-00006C090000}"/>
    <hyperlink ref="F1770" r:id="rId2414" xr:uid="{00000000-0004-0000-0200-00006D090000}"/>
    <hyperlink ref="S1770" r:id="rId2415" xr:uid="{00000000-0004-0000-0200-00006E090000}"/>
    <hyperlink ref="F1771" r:id="rId2416" xr:uid="{00000000-0004-0000-0200-00006F090000}"/>
    <hyperlink ref="F1772" r:id="rId2417" xr:uid="{00000000-0004-0000-0200-000070090000}"/>
    <hyperlink ref="F1773" r:id="rId2418" xr:uid="{00000000-0004-0000-0200-000071090000}"/>
    <hyperlink ref="F1774" r:id="rId2419" xr:uid="{00000000-0004-0000-0200-000072090000}"/>
    <hyperlink ref="F1775" r:id="rId2420" xr:uid="{00000000-0004-0000-0200-000073090000}"/>
    <hyperlink ref="S1775" r:id="rId2421" xr:uid="{00000000-0004-0000-0200-000074090000}"/>
    <hyperlink ref="F1776" r:id="rId2422" xr:uid="{00000000-0004-0000-0200-000075090000}"/>
    <hyperlink ref="S1776" r:id="rId2423" xr:uid="{00000000-0004-0000-0200-000076090000}"/>
    <hyperlink ref="F1777" r:id="rId2424" xr:uid="{00000000-0004-0000-0200-000077090000}"/>
    <hyperlink ref="S1777" r:id="rId2425" xr:uid="{00000000-0004-0000-0200-000078090000}"/>
    <hyperlink ref="F1778" r:id="rId2426" xr:uid="{00000000-0004-0000-0200-000079090000}"/>
    <hyperlink ref="G1779" r:id="rId2427" xr:uid="{00000000-0004-0000-0200-00007A090000}"/>
    <hyperlink ref="G1780" r:id="rId2428" xr:uid="{00000000-0004-0000-0200-00007B090000}"/>
    <hyperlink ref="F1781" r:id="rId2429" xr:uid="{00000000-0004-0000-0200-00007C090000}"/>
    <hyperlink ref="S1781" r:id="rId2430" xr:uid="{00000000-0004-0000-0200-00007D090000}"/>
    <hyperlink ref="F1782" r:id="rId2431" xr:uid="{00000000-0004-0000-0200-00007E090000}"/>
    <hyperlink ref="G1782" r:id="rId2432" xr:uid="{00000000-0004-0000-0200-00007F090000}"/>
    <hyperlink ref="S1782" r:id="rId2433" xr:uid="{00000000-0004-0000-0200-000080090000}"/>
    <hyperlink ref="F1783" r:id="rId2434" xr:uid="{00000000-0004-0000-0200-000081090000}"/>
    <hyperlink ref="S1783" r:id="rId2435" xr:uid="{00000000-0004-0000-0200-000082090000}"/>
    <hyperlink ref="F1784" r:id="rId2436" xr:uid="{00000000-0004-0000-0200-000083090000}"/>
    <hyperlink ref="F1785" r:id="rId2437" xr:uid="{00000000-0004-0000-0200-000084090000}"/>
    <hyperlink ref="S1785" r:id="rId2438" xr:uid="{00000000-0004-0000-0200-000085090000}"/>
    <hyperlink ref="F1786" r:id="rId2439" xr:uid="{00000000-0004-0000-0200-000086090000}"/>
    <hyperlink ref="S1786" r:id="rId2440" xr:uid="{00000000-0004-0000-0200-000087090000}"/>
    <hyperlink ref="F1787" r:id="rId2441" xr:uid="{00000000-0004-0000-0200-000088090000}"/>
    <hyperlink ref="S1787" r:id="rId2442" xr:uid="{00000000-0004-0000-0200-000089090000}"/>
    <hyperlink ref="F1788" r:id="rId2443" xr:uid="{00000000-0004-0000-0200-00008A090000}"/>
    <hyperlink ref="F1789" r:id="rId2444" xr:uid="{00000000-0004-0000-0200-00008B090000}"/>
    <hyperlink ref="G1789" r:id="rId2445" xr:uid="{00000000-0004-0000-0200-00008C090000}"/>
    <hyperlink ref="F1790" r:id="rId2446" xr:uid="{00000000-0004-0000-0200-00008D090000}"/>
    <hyperlink ref="S1790" r:id="rId2447" xr:uid="{00000000-0004-0000-0200-00008E090000}"/>
    <hyperlink ref="F1791" r:id="rId2448" xr:uid="{00000000-0004-0000-0200-00008F090000}"/>
    <hyperlink ref="S1791" r:id="rId2449" xr:uid="{00000000-0004-0000-0200-000090090000}"/>
    <hyperlink ref="F1792" r:id="rId2450" xr:uid="{00000000-0004-0000-0200-000091090000}"/>
    <hyperlink ref="F1793" r:id="rId2451" xr:uid="{00000000-0004-0000-0200-000092090000}"/>
    <hyperlink ref="G1793" r:id="rId2452" xr:uid="{00000000-0004-0000-0200-000093090000}"/>
    <hyperlink ref="F1794" r:id="rId2453" xr:uid="{00000000-0004-0000-0200-000094090000}"/>
    <hyperlink ref="F1796" r:id="rId2454" xr:uid="{00000000-0004-0000-0200-000095090000}"/>
    <hyperlink ref="G1796" r:id="rId2455" xr:uid="{00000000-0004-0000-0200-000096090000}"/>
    <hyperlink ref="S1797" r:id="rId2456" xr:uid="{00000000-0004-0000-0200-000097090000}"/>
    <hyperlink ref="F1798" r:id="rId2457" xr:uid="{00000000-0004-0000-0200-000098090000}"/>
    <hyperlink ref="F1799" r:id="rId2458" xr:uid="{00000000-0004-0000-0200-000099090000}"/>
    <hyperlink ref="F1800" r:id="rId2459" xr:uid="{00000000-0004-0000-0200-00009A090000}"/>
    <hyperlink ref="F1801" r:id="rId2460" xr:uid="{00000000-0004-0000-0200-00009B090000}"/>
    <hyperlink ref="F1802" r:id="rId2461" xr:uid="{00000000-0004-0000-0200-00009C090000}"/>
    <hyperlink ref="F1803" r:id="rId2462" xr:uid="{00000000-0004-0000-0200-00009D090000}"/>
    <hyperlink ref="G1803" r:id="rId2463" xr:uid="{00000000-0004-0000-0200-00009E090000}"/>
    <hyperlink ref="F1804" r:id="rId2464" xr:uid="{00000000-0004-0000-0200-00009F090000}"/>
    <hyperlink ref="S1804" r:id="rId2465" xr:uid="{00000000-0004-0000-0200-0000A0090000}"/>
    <hyperlink ref="F1805" r:id="rId2466" xr:uid="{00000000-0004-0000-0200-0000A1090000}"/>
    <hyperlink ref="S1805" r:id="rId2467" xr:uid="{00000000-0004-0000-0200-0000A2090000}"/>
    <hyperlink ref="F1806" r:id="rId2468" xr:uid="{00000000-0004-0000-0200-0000A3090000}"/>
    <hyperlink ref="F1807" r:id="rId2469" xr:uid="{00000000-0004-0000-0200-0000A4090000}"/>
    <hyperlink ref="S1807" r:id="rId2470" xr:uid="{00000000-0004-0000-0200-0000A5090000}"/>
    <hyperlink ref="S1808" r:id="rId2471" xr:uid="{00000000-0004-0000-0200-0000A6090000}"/>
    <hyperlink ref="F1809" r:id="rId2472" xr:uid="{00000000-0004-0000-0200-0000A7090000}"/>
    <hyperlink ref="F1810" r:id="rId2473" xr:uid="{00000000-0004-0000-0200-0000A8090000}"/>
    <hyperlink ref="F1811" r:id="rId2474" xr:uid="{00000000-0004-0000-0200-0000A9090000}"/>
    <hyperlink ref="S1811" r:id="rId2475" xr:uid="{00000000-0004-0000-0200-0000AA090000}"/>
    <hyperlink ref="F1812" r:id="rId2476" xr:uid="{00000000-0004-0000-0200-0000AB090000}"/>
    <hyperlink ref="F1813" r:id="rId2477" xr:uid="{00000000-0004-0000-0200-0000AC090000}"/>
    <hyperlink ref="S1813" r:id="rId2478" xr:uid="{00000000-0004-0000-0200-0000AD090000}"/>
    <hyperlink ref="F1814" r:id="rId2479" xr:uid="{00000000-0004-0000-0200-0000AE090000}"/>
    <hyperlink ref="F1815" r:id="rId2480" xr:uid="{00000000-0004-0000-0200-0000AF090000}"/>
    <hyperlink ref="G1816" r:id="rId2481" xr:uid="{00000000-0004-0000-0200-0000B0090000}"/>
    <hyperlink ref="F1817" r:id="rId2482" xr:uid="{00000000-0004-0000-0200-0000B1090000}"/>
    <hyperlink ref="F1818" r:id="rId2483" xr:uid="{00000000-0004-0000-0200-0000B2090000}"/>
    <hyperlink ref="F1819" r:id="rId2484" xr:uid="{00000000-0004-0000-0200-0000B3090000}"/>
    <hyperlink ref="S1819" r:id="rId2485" xr:uid="{00000000-0004-0000-0200-0000B4090000}"/>
    <hyperlink ref="F1820" r:id="rId2486" xr:uid="{00000000-0004-0000-0200-0000B5090000}"/>
    <hyperlink ref="S1820" r:id="rId2487" xr:uid="{00000000-0004-0000-0200-0000B6090000}"/>
    <hyperlink ref="F1822" r:id="rId2488" xr:uid="{00000000-0004-0000-0200-0000B7090000}"/>
    <hyperlink ref="S1822" r:id="rId2489" xr:uid="{00000000-0004-0000-0200-0000B8090000}"/>
    <hyperlink ref="F1823" r:id="rId2490" xr:uid="{00000000-0004-0000-0200-0000B9090000}"/>
    <hyperlink ref="S1823" r:id="rId2491" xr:uid="{00000000-0004-0000-0200-0000BA090000}"/>
    <hyperlink ref="F1824" r:id="rId2492" xr:uid="{00000000-0004-0000-0200-0000BB090000}"/>
    <hyperlink ref="G1824" r:id="rId2493" xr:uid="{00000000-0004-0000-0200-0000BC090000}"/>
    <hyperlink ref="F1826" r:id="rId2494" xr:uid="{00000000-0004-0000-0200-0000BD090000}"/>
    <hyperlink ref="G1826" r:id="rId2495" xr:uid="{00000000-0004-0000-0200-0000BE090000}"/>
    <hyperlink ref="S1826" r:id="rId2496" xr:uid="{00000000-0004-0000-0200-0000BF090000}"/>
    <hyperlink ref="F1827" r:id="rId2497" xr:uid="{00000000-0004-0000-0200-0000C0090000}"/>
    <hyperlink ref="G1827" r:id="rId2498" xr:uid="{00000000-0004-0000-0200-0000C1090000}"/>
    <hyperlink ref="S1827" r:id="rId2499" xr:uid="{00000000-0004-0000-0200-0000C2090000}"/>
    <hyperlink ref="F1828" r:id="rId2500" xr:uid="{00000000-0004-0000-0200-0000C3090000}"/>
    <hyperlink ref="G1828" r:id="rId2501" xr:uid="{00000000-0004-0000-0200-0000C4090000}"/>
    <hyperlink ref="S1828" r:id="rId2502" xr:uid="{00000000-0004-0000-0200-0000C5090000}"/>
    <hyperlink ref="F1829" r:id="rId2503" xr:uid="{00000000-0004-0000-0200-0000C6090000}"/>
    <hyperlink ref="G1829" r:id="rId2504" xr:uid="{00000000-0004-0000-0200-0000C7090000}"/>
    <hyperlink ref="S1829" r:id="rId2505" xr:uid="{00000000-0004-0000-0200-0000C8090000}"/>
    <hyperlink ref="F1830" r:id="rId2506" xr:uid="{00000000-0004-0000-0200-0000C9090000}"/>
    <hyperlink ref="G1830" r:id="rId2507" xr:uid="{00000000-0004-0000-0200-0000CA090000}"/>
    <hyperlink ref="S1830" r:id="rId2508" xr:uid="{00000000-0004-0000-0200-0000CB090000}"/>
    <hyperlink ref="F1831" r:id="rId2509" xr:uid="{00000000-0004-0000-0200-0000CC090000}"/>
    <hyperlink ref="G1831" r:id="rId2510" xr:uid="{00000000-0004-0000-0200-0000CD090000}"/>
    <hyperlink ref="S1831" r:id="rId2511" xr:uid="{00000000-0004-0000-0200-0000CE090000}"/>
    <hyperlink ref="F1832" r:id="rId2512" xr:uid="{00000000-0004-0000-0200-0000CF090000}"/>
    <hyperlink ref="G1832" r:id="rId2513" xr:uid="{00000000-0004-0000-0200-0000D0090000}"/>
    <hyperlink ref="S1832" r:id="rId2514" xr:uid="{00000000-0004-0000-0200-0000D1090000}"/>
    <hyperlink ref="F1833" r:id="rId2515" xr:uid="{00000000-0004-0000-0200-0000D2090000}"/>
    <hyperlink ref="G1833" r:id="rId2516" xr:uid="{00000000-0004-0000-0200-0000D3090000}"/>
    <hyperlink ref="S1833" r:id="rId2517" xr:uid="{00000000-0004-0000-0200-0000D4090000}"/>
    <hyperlink ref="F1834" r:id="rId2518" xr:uid="{00000000-0004-0000-0200-0000D5090000}"/>
    <hyperlink ref="F1835" r:id="rId2519" xr:uid="{00000000-0004-0000-0200-0000D6090000}"/>
    <hyperlink ref="S1835" r:id="rId2520" xr:uid="{00000000-0004-0000-0200-0000D7090000}"/>
    <hyperlink ref="F1836" r:id="rId2521" xr:uid="{00000000-0004-0000-0200-0000D8090000}"/>
    <hyperlink ref="S1836" r:id="rId2522" xr:uid="{00000000-0004-0000-0200-0000D9090000}"/>
    <hyperlink ref="F1837" r:id="rId2523" xr:uid="{00000000-0004-0000-0200-0000DA090000}"/>
    <hyperlink ref="S1837" r:id="rId2524" xr:uid="{00000000-0004-0000-0200-0000DB090000}"/>
    <hyperlink ref="G1838" r:id="rId2525" xr:uid="{00000000-0004-0000-0200-0000DC090000}"/>
    <hyperlink ref="F1841" r:id="rId2526" xr:uid="{00000000-0004-0000-0200-0000DD090000}"/>
    <hyperlink ref="G1841" r:id="rId2527" xr:uid="{00000000-0004-0000-0200-0000DE090000}"/>
    <hyperlink ref="S1841" r:id="rId2528" xr:uid="{00000000-0004-0000-0200-0000DF090000}"/>
    <hyperlink ref="F1843" r:id="rId2529" xr:uid="{00000000-0004-0000-0200-0000E0090000}"/>
    <hyperlink ref="S1843" r:id="rId2530" xr:uid="{00000000-0004-0000-0200-0000E1090000}"/>
    <hyperlink ref="F1844" r:id="rId2531" xr:uid="{00000000-0004-0000-0200-0000E2090000}"/>
    <hyperlink ref="G1844" r:id="rId2532" xr:uid="{00000000-0004-0000-0200-0000E3090000}"/>
    <hyperlink ref="S1844" r:id="rId2533" xr:uid="{00000000-0004-0000-0200-0000E4090000}"/>
    <hyperlink ref="F1845" r:id="rId2534" xr:uid="{00000000-0004-0000-0200-0000E5090000}"/>
    <hyperlink ref="F1846" r:id="rId2535" xr:uid="{00000000-0004-0000-0200-0000E6090000}"/>
    <hyperlink ref="S1846" r:id="rId2536" xr:uid="{00000000-0004-0000-0200-0000E7090000}"/>
    <hyperlink ref="F1848" r:id="rId2537" xr:uid="{00000000-0004-0000-0200-0000E8090000}"/>
    <hyperlink ref="F1849" r:id="rId2538" xr:uid="{00000000-0004-0000-0200-0000E9090000}"/>
    <hyperlink ref="F1850" r:id="rId2539" xr:uid="{00000000-0004-0000-0200-0000EA090000}"/>
    <hyperlink ref="S1850" r:id="rId2540" xr:uid="{00000000-0004-0000-0200-0000EB090000}"/>
    <hyperlink ref="F1851" r:id="rId2541" xr:uid="{00000000-0004-0000-0200-0000EC090000}"/>
    <hyperlink ref="S1851" r:id="rId2542" xr:uid="{00000000-0004-0000-0200-0000ED090000}"/>
    <hyperlink ref="G1854" r:id="rId2543" xr:uid="{00000000-0004-0000-0200-0000EE090000}"/>
    <hyperlink ref="F1856" r:id="rId2544" xr:uid="{00000000-0004-0000-0200-0000EF090000}"/>
    <hyperlink ref="S1857" r:id="rId2545" xr:uid="{00000000-0004-0000-0200-0000F0090000}"/>
    <hyperlink ref="F1858" r:id="rId2546" xr:uid="{00000000-0004-0000-0200-0000F1090000}"/>
    <hyperlink ref="S1858" r:id="rId2547" xr:uid="{00000000-0004-0000-0200-0000F2090000}"/>
    <hyperlink ref="G1860" r:id="rId2548" xr:uid="{00000000-0004-0000-0200-0000F3090000}"/>
    <hyperlink ref="S1863" r:id="rId2549" xr:uid="{00000000-0004-0000-0200-0000F4090000}"/>
    <hyperlink ref="F1864" r:id="rId2550" xr:uid="{00000000-0004-0000-0200-0000F5090000}"/>
    <hyperlink ref="G1864" r:id="rId2551" xr:uid="{00000000-0004-0000-0200-0000F6090000}"/>
    <hyperlink ref="S1864" r:id="rId2552" xr:uid="{00000000-0004-0000-0200-0000F7090000}"/>
    <hyperlink ref="F1865" r:id="rId2553" xr:uid="{00000000-0004-0000-0200-0000F8090000}"/>
    <hyperlink ref="F1866" r:id="rId2554" xr:uid="{00000000-0004-0000-0200-0000F9090000}"/>
    <hyperlink ref="F1867" r:id="rId2555" xr:uid="{00000000-0004-0000-0200-0000FA090000}"/>
    <hyperlink ref="F1868" r:id="rId2556" xr:uid="{00000000-0004-0000-0200-0000FB090000}"/>
    <hyperlink ref="G1868" r:id="rId2557" xr:uid="{00000000-0004-0000-0200-0000FC090000}"/>
    <hyperlink ref="S1868" r:id="rId2558" xr:uid="{00000000-0004-0000-0200-0000FD090000}"/>
    <hyperlink ref="S1869" r:id="rId2559" xr:uid="{00000000-0004-0000-0200-0000FE090000}"/>
    <hyperlink ref="F1871" r:id="rId2560" xr:uid="{00000000-0004-0000-0200-0000FF090000}"/>
    <hyperlink ref="G1871" r:id="rId2561" xr:uid="{00000000-0004-0000-0200-0000000A0000}"/>
    <hyperlink ref="F1872" r:id="rId2562" xr:uid="{00000000-0004-0000-0200-0000010A0000}"/>
    <hyperlink ref="F1873" r:id="rId2563" xr:uid="{00000000-0004-0000-0200-0000020A0000}"/>
    <hyperlink ref="G1873" r:id="rId2564" xr:uid="{00000000-0004-0000-0200-0000030A0000}"/>
    <hyperlink ref="F1874" r:id="rId2565" xr:uid="{00000000-0004-0000-0200-0000040A0000}"/>
    <hyperlink ref="G1874" r:id="rId2566" xr:uid="{00000000-0004-0000-0200-0000050A0000}"/>
    <hyperlink ref="F1875" r:id="rId2567" xr:uid="{00000000-0004-0000-0200-0000060A0000}"/>
    <hyperlink ref="G1875" r:id="rId2568" xr:uid="{00000000-0004-0000-0200-0000070A0000}"/>
    <hyperlink ref="S1875" r:id="rId2569" xr:uid="{00000000-0004-0000-0200-0000080A0000}"/>
    <hyperlink ref="F1876" r:id="rId2570" xr:uid="{00000000-0004-0000-0200-0000090A0000}"/>
    <hyperlink ref="G1876" r:id="rId2571" xr:uid="{00000000-0004-0000-0200-00000A0A0000}"/>
    <hyperlink ref="F1877" r:id="rId2572" xr:uid="{00000000-0004-0000-0200-00000B0A0000}"/>
    <hyperlink ref="G1878" r:id="rId2573" xr:uid="{00000000-0004-0000-0200-00000C0A0000}"/>
    <hyperlink ref="F1879" r:id="rId2574" location="ns_campaign=rrss-inducido&amp;ns_mchannel=abc-es&amp;ns_source=tw&amp;ns_linkname=noticia-video&amp;ns_fee=0" xr:uid="{00000000-0004-0000-0200-00000D0A0000}"/>
    <hyperlink ref="F1880" r:id="rId2575" xr:uid="{00000000-0004-0000-0200-00000E0A0000}"/>
    <hyperlink ref="S1880" r:id="rId2576" xr:uid="{00000000-0004-0000-0200-00000F0A0000}"/>
    <hyperlink ref="F1881" r:id="rId2577" xr:uid="{00000000-0004-0000-0200-0000100A0000}"/>
    <hyperlink ref="S1881" r:id="rId2578" xr:uid="{00000000-0004-0000-0200-0000110A0000}"/>
    <hyperlink ref="F1882" r:id="rId2579" xr:uid="{00000000-0004-0000-0200-0000120A0000}"/>
    <hyperlink ref="F1883" r:id="rId2580" xr:uid="{00000000-0004-0000-0200-0000130A0000}"/>
    <hyperlink ref="G1883" r:id="rId2581" xr:uid="{00000000-0004-0000-0200-0000140A0000}"/>
    <hyperlink ref="S1883" r:id="rId2582" xr:uid="{00000000-0004-0000-0200-0000150A0000}"/>
    <hyperlink ref="F1884" r:id="rId2583" xr:uid="{00000000-0004-0000-0200-0000160A0000}"/>
    <hyperlink ref="S1884" r:id="rId2584" xr:uid="{00000000-0004-0000-0200-0000170A0000}"/>
    <hyperlink ref="S1885" r:id="rId2585" xr:uid="{00000000-0004-0000-0200-0000180A0000}"/>
    <hyperlink ref="S1886" r:id="rId2586" xr:uid="{00000000-0004-0000-0200-0000190A0000}"/>
    <hyperlink ref="F1887" r:id="rId2587" location=".XAl-sKIr46c.twitter" xr:uid="{00000000-0004-0000-0200-00001A0A0000}"/>
    <hyperlink ref="F1888" r:id="rId2588" xr:uid="{00000000-0004-0000-0200-00001B0A0000}"/>
    <hyperlink ref="F1889" r:id="rId2589" location="ns_campaign=rrss-inducido&amp;ns_mchannel=abc-es&amp;ns_source=tw&amp;ns_linkname=noticia-video&amp;ns_fee=0" xr:uid="{00000000-0004-0000-0200-00001C0A0000}"/>
    <hyperlink ref="F1891" r:id="rId2590" xr:uid="{00000000-0004-0000-0200-00001D0A0000}"/>
    <hyperlink ref="F1892" r:id="rId2591" xr:uid="{00000000-0004-0000-0200-00001E0A0000}"/>
    <hyperlink ref="G1894" r:id="rId2592" xr:uid="{00000000-0004-0000-0200-00001F0A0000}"/>
    <hyperlink ref="F1895" r:id="rId2593" xr:uid="{00000000-0004-0000-0200-0000200A0000}"/>
    <hyperlink ref="F1896" r:id="rId2594" xr:uid="{00000000-0004-0000-0200-0000210A0000}"/>
    <hyperlink ref="F1898" r:id="rId2595" xr:uid="{00000000-0004-0000-0200-0000220A0000}"/>
    <hyperlink ref="G1898" r:id="rId2596" xr:uid="{00000000-0004-0000-0200-0000230A0000}"/>
    <hyperlink ref="S1898" r:id="rId2597" xr:uid="{00000000-0004-0000-0200-0000240A0000}"/>
    <hyperlink ref="F1899" r:id="rId2598" xr:uid="{00000000-0004-0000-0200-0000250A0000}"/>
    <hyperlink ref="F1900" r:id="rId2599" xr:uid="{00000000-0004-0000-0200-0000260A0000}"/>
    <hyperlink ref="F1901" r:id="rId2600" xr:uid="{00000000-0004-0000-0200-0000270A0000}"/>
    <hyperlink ref="F1902" r:id="rId2601" location=".XAl83GmC6hg.twitter" xr:uid="{00000000-0004-0000-0200-0000280A0000}"/>
    <hyperlink ref="F1903" r:id="rId2602" xr:uid="{00000000-0004-0000-0200-0000290A0000}"/>
    <hyperlink ref="F1904" r:id="rId2603" xr:uid="{00000000-0004-0000-0200-00002A0A0000}"/>
    <hyperlink ref="F1905" r:id="rId2604" xr:uid="{00000000-0004-0000-0200-00002B0A0000}"/>
    <hyperlink ref="S1905" r:id="rId2605" xr:uid="{00000000-0004-0000-0200-00002C0A0000}"/>
    <hyperlink ref="F1906" r:id="rId2606" xr:uid="{00000000-0004-0000-0200-00002D0A0000}"/>
    <hyperlink ref="F1907" r:id="rId2607" xr:uid="{00000000-0004-0000-0200-00002E0A0000}"/>
    <hyperlink ref="F1909" r:id="rId2608" xr:uid="{00000000-0004-0000-0200-00002F0A0000}"/>
    <hyperlink ref="F1910" r:id="rId2609" xr:uid="{00000000-0004-0000-0200-0000300A0000}"/>
    <hyperlink ref="S1910" r:id="rId2610" xr:uid="{00000000-0004-0000-0200-0000310A0000}"/>
    <hyperlink ref="F1911" r:id="rId2611" xr:uid="{00000000-0004-0000-0200-0000320A0000}"/>
    <hyperlink ref="G1912" r:id="rId2612" xr:uid="{00000000-0004-0000-0200-0000330A0000}"/>
    <hyperlink ref="F1915" r:id="rId2613" xr:uid="{00000000-0004-0000-0200-0000340A0000}"/>
    <hyperlink ref="F1916" r:id="rId2614" xr:uid="{00000000-0004-0000-0200-0000350A0000}"/>
    <hyperlink ref="F1917" r:id="rId2615" xr:uid="{00000000-0004-0000-0200-0000360A0000}"/>
    <hyperlink ref="F1918" r:id="rId2616" xr:uid="{00000000-0004-0000-0200-0000370A0000}"/>
    <hyperlink ref="F1919" r:id="rId2617" xr:uid="{00000000-0004-0000-0200-0000380A0000}"/>
    <hyperlink ref="F1920" r:id="rId2618" xr:uid="{00000000-0004-0000-0200-0000390A0000}"/>
    <hyperlink ref="G1920" r:id="rId2619" xr:uid="{00000000-0004-0000-0200-00003A0A0000}"/>
    <hyperlink ref="F1922" r:id="rId2620" xr:uid="{00000000-0004-0000-0200-00003B0A0000}"/>
    <hyperlink ref="S1922" r:id="rId2621" xr:uid="{00000000-0004-0000-0200-00003C0A0000}"/>
    <hyperlink ref="F1923" r:id="rId2622" xr:uid="{00000000-0004-0000-0200-00003D0A0000}"/>
    <hyperlink ref="F1924" r:id="rId2623" xr:uid="{00000000-0004-0000-0200-00003E0A0000}"/>
    <hyperlink ref="F1925" r:id="rId2624" xr:uid="{00000000-0004-0000-0200-00003F0A0000}"/>
    <hyperlink ref="F1926" r:id="rId2625" xr:uid="{00000000-0004-0000-0200-0000400A0000}"/>
    <hyperlink ref="G1926" r:id="rId2626" xr:uid="{00000000-0004-0000-0200-0000410A0000}"/>
    <hyperlink ref="F1927" r:id="rId2627" xr:uid="{00000000-0004-0000-0200-0000420A0000}"/>
    <hyperlink ref="G1927" r:id="rId2628" xr:uid="{00000000-0004-0000-0200-0000430A0000}"/>
    <hyperlink ref="F1928" r:id="rId2629" xr:uid="{00000000-0004-0000-0200-0000440A0000}"/>
    <hyperlink ref="F1929" r:id="rId2630" xr:uid="{00000000-0004-0000-0200-0000450A0000}"/>
    <hyperlink ref="F1930" r:id="rId2631" xr:uid="{00000000-0004-0000-0200-0000460A0000}"/>
    <hyperlink ref="F1931" r:id="rId2632" xr:uid="{00000000-0004-0000-0200-0000470A0000}"/>
    <hyperlink ref="F1932" r:id="rId2633" xr:uid="{00000000-0004-0000-0200-0000480A0000}"/>
    <hyperlink ref="F1933" r:id="rId2634" xr:uid="{00000000-0004-0000-0200-0000490A0000}"/>
    <hyperlink ref="S1933" r:id="rId2635" xr:uid="{00000000-0004-0000-0200-00004A0A0000}"/>
    <hyperlink ref="F1934" r:id="rId2636" xr:uid="{00000000-0004-0000-0200-00004B0A0000}"/>
    <hyperlink ref="F1935" r:id="rId2637" xr:uid="{00000000-0004-0000-0200-00004C0A0000}"/>
    <hyperlink ref="F1936" r:id="rId2638" xr:uid="{00000000-0004-0000-0200-00004D0A0000}"/>
    <hyperlink ref="G1936" r:id="rId2639" xr:uid="{00000000-0004-0000-0200-00004E0A0000}"/>
    <hyperlink ref="S1936" r:id="rId2640" xr:uid="{00000000-0004-0000-0200-00004F0A0000}"/>
    <hyperlink ref="F1937" r:id="rId2641" xr:uid="{00000000-0004-0000-0200-0000500A0000}"/>
    <hyperlink ref="F1938" r:id="rId2642" xr:uid="{00000000-0004-0000-0200-0000510A0000}"/>
    <hyperlink ref="F1939" r:id="rId2643" xr:uid="{00000000-0004-0000-0200-0000520A0000}"/>
    <hyperlink ref="F1940" r:id="rId2644" xr:uid="{00000000-0004-0000-0200-0000530A0000}"/>
    <hyperlink ref="F1941" r:id="rId2645" location="ns_campaign=rrss-inducido&amp;ns_mchannel=abc-es&amp;ns_source=tw&amp;ns_linkname=noticia-video&amp;ns_fee=0" xr:uid="{00000000-0004-0000-0200-0000540A0000}"/>
    <hyperlink ref="F1942" r:id="rId2646" xr:uid="{00000000-0004-0000-0200-0000550A0000}"/>
    <hyperlink ref="F1943" r:id="rId2647" xr:uid="{00000000-0004-0000-0200-0000560A0000}"/>
    <hyperlink ref="G1943" r:id="rId2648" xr:uid="{00000000-0004-0000-0200-0000570A0000}"/>
    <hyperlink ref="S1943" r:id="rId2649" xr:uid="{00000000-0004-0000-0200-0000580A0000}"/>
    <hyperlink ref="F1944" r:id="rId2650" xr:uid="{00000000-0004-0000-0200-0000590A0000}"/>
    <hyperlink ref="G1945" r:id="rId2651" xr:uid="{00000000-0004-0000-0200-00005A0A0000}"/>
    <hyperlink ref="F1946" r:id="rId2652" xr:uid="{00000000-0004-0000-0200-00005B0A0000}"/>
    <hyperlink ref="S1946" r:id="rId2653" xr:uid="{00000000-0004-0000-0200-00005C0A0000}"/>
    <hyperlink ref="F1947" r:id="rId2654" xr:uid="{00000000-0004-0000-0200-00005D0A0000}"/>
    <hyperlink ref="F1948" r:id="rId2655" xr:uid="{00000000-0004-0000-0200-00005E0A0000}"/>
    <hyperlink ref="F1950" r:id="rId2656" xr:uid="{00000000-0004-0000-0200-00005F0A0000}"/>
    <hyperlink ref="F1951" r:id="rId2657" xr:uid="{00000000-0004-0000-0200-0000600A0000}"/>
    <hyperlink ref="S1951" r:id="rId2658" xr:uid="{00000000-0004-0000-0200-0000610A0000}"/>
    <hyperlink ref="F1952" r:id="rId2659" xr:uid="{00000000-0004-0000-0200-0000620A0000}"/>
    <hyperlink ref="F1954" r:id="rId2660" xr:uid="{00000000-0004-0000-0200-0000630A0000}"/>
    <hyperlink ref="G1957" r:id="rId2661" xr:uid="{00000000-0004-0000-0200-0000640A0000}"/>
    <hyperlink ref="F1958" r:id="rId2662" xr:uid="{00000000-0004-0000-0200-0000650A0000}"/>
    <hyperlink ref="G1959" r:id="rId2663" xr:uid="{00000000-0004-0000-0200-0000660A0000}"/>
    <hyperlink ref="S1959" r:id="rId2664" xr:uid="{00000000-0004-0000-0200-0000670A0000}"/>
    <hyperlink ref="F1961" r:id="rId2665" xr:uid="{00000000-0004-0000-0200-0000680A0000}"/>
    <hyperlink ref="F1962" r:id="rId2666" xr:uid="{00000000-0004-0000-0200-0000690A0000}"/>
    <hyperlink ref="G1962" r:id="rId2667" xr:uid="{00000000-0004-0000-0200-00006A0A0000}"/>
    <hyperlink ref="S1962" r:id="rId2668" xr:uid="{00000000-0004-0000-0200-00006B0A0000}"/>
    <hyperlink ref="F1963" r:id="rId2669" xr:uid="{00000000-0004-0000-0200-00006C0A0000}"/>
    <hyperlink ref="F1964" r:id="rId2670" xr:uid="{00000000-0004-0000-0200-00006D0A0000}"/>
    <hyperlink ref="G1964" r:id="rId2671" xr:uid="{00000000-0004-0000-0200-00006E0A0000}"/>
    <hyperlink ref="F1967" r:id="rId2672" xr:uid="{00000000-0004-0000-0200-00006F0A0000}"/>
    <hyperlink ref="F1968" r:id="rId2673" xr:uid="{00000000-0004-0000-0200-0000700A0000}"/>
    <hyperlink ref="F1969" r:id="rId2674" xr:uid="{00000000-0004-0000-0200-0000710A0000}"/>
    <hyperlink ref="F1970" r:id="rId2675" xr:uid="{00000000-0004-0000-0200-0000720A0000}"/>
    <hyperlink ref="S1970" r:id="rId2676" xr:uid="{00000000-0004-0000-0200-0000730A0000}"/>
    <hyperlink ref="F1971" r:id="rId2677" xr:uid="{00000000-0004-0000-0200-0000740A0000}"/>
    <hyperlink ref="G1971" r:id="rId2678" xr:uid="{00000000-0004-0000-0200-0000750A0000}"/>
    <hyperlink ref="S1971" r:id="rId2679" xr:uid="{00000000-0004-0000-0200-0000760A0000}"/>
    <hyperlink ref="F1972" r:id="rId2680" xr:uid="{00000000-0004-0000-0200-0000770A0000}"/>
    <hyperlink ref="F1973" r:id="rId2681" xr:uid="{00000000-0004-0000-0200-0000780A0000}"/>
    <hyperlink ref="F1974" r:id="rId2682" xr:uid="{00000000-0004-0000-0200-0000790A0000}"/>
    <hyperlink ref="S1974" r:id="rId2683" xr:uid="{00000000-0004-0000-0200-00007A0A0000}"/>
    <hyperlink ref="F1975" r:id="rId2684" xr:uid="{00000000-0004-0000-0200-00007B0A0000}"/>
    <hyperlink ref="G1975" r:id="rId2685" xr:uid="{00000000-0004-0000-0200-00007C0A0000}"/>
    <hyperlink ref="S1975" r:id="rId2686" xr:uid="{00000000-0004-0000-0200-00007D0A0000}"/>
    <hyperlink ref="F1976" r:id="rId2687" xr:uid="{00000000-0004-0000-0200-00007E0A0000}"/>
    <hyperlink ref="F1977" r:id="rId2688" xr:uid="{00000000-0004-0000-0200-00007F0A0000}"/>
    <hyperlink ref="F1978" r:id="rId2689" xr:uid="{00000000-0004-0000-0200-0000800A0000}"/>
    <hyperlink ref="F1979" r:id="rId2690" xr:uid="{00000000-0004-0000-0200-0000810A0000}"/>
    <hyperlink ref="F1980" r:id="rId2691" xr:uid="{00000000-0004-0000-0200-0000820A0000}"/>
    <hyperlink ref="F1981" r:id="rId2692" xr:uid="{00000000-0004-0000-0200-0000830A0000}"/>
    <hyperlink ref="S1981" r:id="rId2693" xr:uid="{00000000-0004-0000-0200-0000840A0000}"/>
    <hyperlink ref="F1983" r:id="rId2694" xr:uid="{00000000-0004-0000-0200-0000850A0000}"/>
    <hyperlink ref="F1984" r:id="rId2695" xr:uid="{00000000-0004-0000-0200-0000860A0000}"/>
    <hyperlink ref="F1985" r:id="rId2696" xr:uid="{00000000-0004-0000-0200-0000870A0000}"/>
    <hyperlink ref="S1985" r:id="rId2697" xr:uid="{00000000-0004-0000-0200-0000880A0000}"/>
    <hyperlink ref="F1986" r:id="rId2698" xr:uid="{00000000-0004-0000-0200-0000890A0000}"/>
    <hyperlink ref="F1987" r:id="rId2699" xr:uid="{00000000-0004-0000-0200-00008A0A0000}"/>
    <hyperlink ref="S1987" r:id="rId2700" xr:uid="{00000000-0004-0000-0200-00008B0A0000}"/>
    <hyperlink ref="F1988" r:id="rId2701" xr:uid="{00000000-0004-0000-0200-00008C0A0000}"/>
    <hyperlink ref="S1988" r:id="rId2702" xr:uid="{00000000-0004-0000-0200-00008D0A0000}"/>
    <hyperlink ref="G1989" r:id="rId2703" xr:uid="{00000000-0004-0000-0200-00008E0A0000}"/>
    <hyperlink ref="S1989" r:id="rId2704" xr:uid="{00000000-0004-0000-0200-00008F0A0000}"/>
    <hyperlink ref="F1990" r:id="rId2705" xr:uid="{00000000-0004-0000-0200-0000900A0000}"/>
    <hyperlink ref="F1991" r:id="rId2706" xr:uid="{00000000-0004-0000-0200-0000910A0000}"/>
    <hyperlink ref="G1991" r:id="rId2707" xr:uid="{00000000-0004-0000-0200-0000920A0000}"/>
    <hyperlink ref="S1991" r:id="rId2708" xr:uid="{00000000-0004-0000-0200-0000930A0000}"/>
    <hyperlink ref="F1992" r:id="rId2709" xr:uid="{00000000-0004-0000-0200-0000940A0000}"/>
    <hyperlink ref="G1992" r:id="rId2710" xr:uid="{00000000-0004-0000-0200-0000950A0000}"/>
    <hyperlink ref="S1992" r:id="rId2711" xr:uid="{00000000-0004-0000-0200-0000960A0000}"/>
    <hyperlink ref="F1993" r:id="rId2712" xr:uid="{00000000-0004-0000-0200-0000970A0000}"/>
    <hyperlink ref="F1994" r:id="rId2713" xr:uid="{00000000-0004-0000-0200-0000980A0000}"/>
    <hyperlink ref="G1995" r:id="rId2714" xr:uid="{00000000-0004-0000-0200-0000990A0000}"/>
    <hyperlink ref="F1996" r:id="rId2715" xr:uid="{00000000-0004-0000-0200-00009A0A0000}"/>
    <hyperlink ref="G1996" r:id="rId2716" xr:uid="{00000000-0004-0000-0200-00009B0A0000}"/>
    <hyperlink ref="S1996" r:id="rId2717" xr:uid="{00000000-0004-0000-0200-00009C0A0000}"/>
    <hyperlink ref="F1997" r:id="rId2718" xr:uid="{00000000-0004-0000-0200-00009D0A0000}"/>
    <hyperlink ref="F1998" r:id="rId2719" xr:uid="{00000000-0004-0000-0200-00009E0A0000}"/>
    <hyperlink ref="F1999" r:id="rId2720" xr:uid="{00000000-0004-0000-0200-00009F0A0000}"/>
    <hyperlink ref="F2000" r:id="rId2721" xr:uid="{00000000-0004-0000-0200-0000A00A0000}"/>
    <hyperlink ref="S2000" r:id="rId2722" xr:uid="{00000000-0004-0000-0200-0000A10A0000}"/>
    <hyperlink ref="F2001" r:id="rId2723" xr:uid="{00000000-0004-0000-0200-0000A20A0000}"/>
    <hyperlink ref="S2001" r:id="rId2724" xr:uid="{00000000-0004-0000-0200-0000A30A0000}"/>
    <hyperlink ref="F2002" r:id="rId2725" xr:uid="{00000000-0004-0000-0200-0000A40A0000}"/>
    <hyperlink ref="F2003" r:id="rId2726" xr:uid="{00000000-0004-0000-0200-0000A50A0000}"/>
    <hyperlink ref="G2003" r:id="rId2727" xr:uid="{00000000-0004-0000-0200-0000A60A0000}"/>
    <hyperlink ref="F2004" r:id="rId2728" xr:uid="{00000000-0004-0000-0200-0000A70A0000}"/>
    <hyperlink ref="G2004" r:id="rId2729" xr:uid="{00000000-0004-0000-0200-0000A80A0000}"/>
    <hyperlink ref="S2004" r:id="rId2730" xr:uid="{00000000-0004-0000-0200-0000A90A0000}"/>
    <hyperlink ref="F2005" r:id="rId2731" xr:uid="{00000000-0004-0000-0200-0000AA0A0000}"/>
    <hyperlink ref="S2005" r:id="rId2732" xr:uid="{00000000-0004-0000-0200-0000AB0A0000}"/>
    <hyperlink ref="F2006" r:id="rId2733" xr:uid="{00000000-0004-0000-0200-0000AC0A0000}"/>
    <hyperlink ref="S2006" r:id="rId2734" xr:uid="{00000000-0004-0000-0200-0000AD0A0000}"/>
    <hyperlink ref="F2007" r:id="rId2735" xr:uid="{00000000-0004-0000-0200-0000AE0A0000}"/>
    <hyperlink ref="S2007" r:id="rId2736" xr:uid="{00000000-0004-0000-0200-0000AF0A0000}"/>
    <hyperlink ref="F2008" r:id="rId2737" xr:uid="{00000000-0004-0000-0200-0000B00A0000}"/>
    <hyperlink ref="G2008" r:id="rId2738" xr:uid="{00000000-0004-0000-0200-0000B10A0000}"/>
    <hyperlink ref="F2009" r:id="rId2739" xr:uid="{00000000-0004-0000-0200-0000B20A0000}"/>
    <hyperlink ref="F2010" r:id="rId2740" location="click=https://t.co/sGxnKAz6EQ" xr:uid="{00000000-0004-0000-0200-0000B30A0000}"/>
    <hyperlink ref="F2011" r:id="rId2741" xr:uid="{00000000-0004-0000-0200-0000B40A0000}"/>
    <hyperlink ref="S2011" r:id="rId2742" xr:uid="{00000000-0004-0000-0200-0000B50A0000}"/>
    <hyperlink ref="F2012" r:id="rId2743" xr:uid="{00000000-0004-0000-0200-0000B60A0000}"/>
    <hyperlink ref="S2012" r:id="rId2744" xr:uid="{00000000-0004-0000-0200-0000B70A0000}"/>
    <hyperlink ref="F2013" r:id="rId2745" xr:uid="{00000000-0004-0000-0200-0000B80A0000}"/>
    <hyperlink ref="S2013" r:id="rId2746" xr:uid="{00000000-0004-0000-0200-0000B90A0000}"/>
    <hyperlink ref="F2014" r:id="rId2747" xr:uid="{00000000-0004-0000-0200-0000BA0A0000}"/>
    <hyperlink ref="S2014" r:id="rId2748" xr:uid="{00000000-0004-0000-0200-0000BB0A0000}"/>
    <hyperlink ref="F2015" r:id="rId2749" xr:uid="{00000000-0004-0000-0200-0000BC0A0000}"/>
    <hyperlink ref="S2015" r:id="rId2750" xr:uid="{00000000-0004-0000-0200-0000BD0A0000}"/>
    <hyperlink ref="F2016" r:id="rId2751" xr:uid="{00000000-0004-0000-0200-0000BE0A0000}"/>
    <hyperlink ref="S2016" r:id="rId2752" xr:uid="{00000000-0004-0000-0200-0000BF0A0000}"/>
    <hyperlink ref="F2017" r:id="rId2753" xr:uid="{00000000-0004-0000-0200-0000C00A0000}"/>
    <hyperlink ref="F2018" r:id="rId2754" xr:uid="{00000000-0004-0000-0200-0000C10A0000}"/>
    <hyperlink ref="F2019" r:id="rId2755" xr:uid="{00000000-0004-0000-0200-0000C20A0000}"/>
    <hyperlink ref="S2019" r:id="rId2756" xr:uid="{00000000-0004-0000-0200-0000C30A0000}"/>
    <hyperlink ref="F2020" r:id="rId2757" xr:uid="{00000000-0004-0000-0200-0000C40A0000}"/>
    <hyperlink ref="F2023" r:id="rId2758" xr:uid="{00000000-0004-0000-0200-0000C50A0000}"/>
    <hyperlink ref="F2024" r:id="rId2759" xr:uid="{00000000-0004-0000-0200-0000C60A0000}"/>
    <hyperlink ref="F2025" r:id="rId2760" xr:uid="{00000000-0004-0000-0200-0000C70A0000}"/>
    <hyperlink ref="F2026" r:id="rId2761" xr:uid="{00000000-0004-0000-0200-0000C80A0000}"/>
    <hyperlink ref="F2027" r:id="rId2762" xr:uid="{00000000-0004-0000-0200-0000C90A0000}"/>
    <hyperlink ref="S2027" r:id="rId2763" xr:uid="{00000000-0004-0000-0200-0000CA0A0000}"/>
    <hyperlink ref="F2028" r:id="rId2764" xr:uid="{00000000-0004-0000-0200-0000CB0A0000}"/>
    <hyperlink ref="G2028" r:id="rId2765" xr:uid="{00000000-0004-0000-0200-0000CC0A0000}"/>
    <hyperlink ref="F2029" r:id="rId2766" xr:uid="{00000000-0004-0000-0200-0000CD0A0000}"/>
    <hyperlink ref="F2030" r:id="rId2767" xr:uid="{00000000-0004-0000-0200-0000CE0A0000}"/>
    <hyperlink ref="F2031" r:id="rId2768" xr:uid="{00000000-0004-0000-0200-0000CF0A0000}"/>
    <hyperlink ref="S2031" r:id="rId2769" xr:uid="{00000000-0004-0000-0200-0000D00A0000}"/>
    <hyperlink ref="F2033" r:id="rId2770" xr:uid="{00000000-0004-0000-0200-0000D10A0000}"/>
    <hyperlink ref="S2033" r:id="rId2771" xr:uid="{00000000-0004-0000-0200-0000D20A0000}"/>
    <hyperlink ref="F2034" r:id="rId2772" xr:uid="{00000000-0004-0000-0200-0000D30A0000}"/>
    <hyperlink ref="C2035" r:id="rId2773" xr:uid="{00000000-0004-0000-0200-0000D40A0000}"/>
    <hyperlink ref="F2035" r:id="rId2774" xr:uid="{00000000-0004-0000-0200-0000D50A0000}"/>
    <hyperlink ref="G2035" r:id="rId2775" xr:uid="{00000000-0004-0000-0200-0000D60A0000}"/>
    <hyperlink ref="S2035" r:id="rId2776" xr:uid="{00000000-0004-0000-0200-0000D70A0000}"/>
    <hyperlink ref="C2036" r:id="rId2777" xr:uid="{00000000-0004-0000-0200-0000D80A0000}"/>
    <hyperlink ref="F2036" r:id="rId2778" xr:uid="{00000000-0004-0000-0200-0000D90A0000}"/>
    <hyperlink ref="G2036" r:id="rId2779" xr:uid="{00000000-0004-0000-0200-0000DA0A0000}"/>
    <hyperlink ref="S2036" r:id="rId2780" xr:uid="{00000000-0004-0000-0200-0000DB0A0000}"/>
    <hyperlink ref="F2037" r:id="rId2781" xr:uid="{00000000-0004-0000-0200-0000DC0A0000}"/>
    <hyperlink ref="G2038" r:id="rId2782" xr:uid="{00000000-0004-0000-0200-0000DD0A0000}"/>
    <hyperlink ref="F2039" r:id="rId2783" xr:uid="{00000000-0004-0000-0200-0000DE0A0000}"/>
    <hyperlink ref="F2041" r:id="rId2784" xr:uid="{00000000-0004-0000-0200-0000DF0A0000}"/>
    <hyperlink ref="S2042" r:id="rId2785" xr:uid="{00000000-0004-0000-0200-0000E00A0000}"/>
    <hyperlink ref="F2043" r:id="rId2786" xr:uid="{00000000-0004-0000-0200-0000E10A0000}"/>
    <hyperlink ref="F2044" r:id="rId2787" location=".XAlnWUMLq1Y.twitter" xr:uid="{00000000-0004-0000-0200-0000E20A0000}"/>
    <hyperlink ref="S2044" r:id="rId2788" xr:uid="{00000000-0004-0000-0200-0000E30A0000}"/>
    <hyperlink ref="F2045" r:id="rId2789" xr:uid="{00000000-0004-0000-0200-0000E40A0000}"/>
    <hyperlink ref="F2046" r:id="rId2790" xr:uid="{00000000-0004-0000-0200-0000E50A0000}"/>
    <hyperlink ref="G2046" r:id="rId2791" xr:uid="{00000000-0004-0000-0200-0000E60A0000}"/>
    <hyperlink ref="S2046" r:id="rId2792" xr:uid="{00000000-0004-0000-0200-0000E70A0000}"/>
    <hyperlink ref="F2047" r:id="rId2793" xr:uid="{00000000-0004-0000-0200-0000E80A0000}"/>
    <hyperlink ref="G2047" r:id="rId2794" xr:uid="{00000000-0004-0000-0200-0000E90A0000}"/>
    <hyperlink ref="S2047" r:id="rId2795" xr:uid="{00000000-0004-0000-0200-0000EA0A0000}"/>
    <hyperlink ref="F2048" r:id="rId2796" xr:uid="{00000000-0004-0000-0200-0000EB0A0000}"/>
    <hyperlink ref="F2049" r:id="rId2797" xr:uid="{00000000-0004-0000-0200-0000EC0A0000}"/>
    <hyperlink ref="F2050" r:id="rId2798" xr:uid="{00000000-0004-0000-0200-0000ED0A0000}"/>
    <hyperlink ref="S2050" r:id="rId2799" xr:uid="{00000000-0004-0000-0200-0000EE0A0000}"/>
    <hyperlink ref="F2051" r:id="rId2800" xr:uid="{00000000-0004-0000-0200-0000EF0A0000}"/>
    <hyperlink ref="G2051" r:id="rId2801" xr:uid="{00000000-0004-0000-0200-0000F00A0000}"/>
    <hyperlink ref="F2052" r:id="rId2802" xr:uid="{00000000-0004-0000-0200-0000F10A0000}"/>
    <hyperlink ref="G2052" r:id="rId2803" xr:uid="{00000000-0004-0000-0200-0000F20A0000}"/>
    <hyperlink ref="F2053" r:id="rId2804" location="ns_campaign=rrss-inducido&amp;ns_mchannel=abc-es&amp;ns_source=tw&amp;ns_linkname=noticia-foto&amp;ns_fee=0" xr:uid="{00000000-0004-0000-0200-0000F30A0000}"/>
    <hyperlink ref="S2053" r:id="rId2805" xr:uid="{00000000-0004-0000-0200-0000F40A0000}"/>
    <hyperlink ref="G2055" r:id="rId2806" xr:uid="{00000000-0004-0000-0200-0000F50A0000}"/>
    <hyperlink ref="G2057" r:id="rId2807" xr:uid="{00000000-0004-0000-0200-0000F60A0000}"/>
    <hyperlink ref="F2058" r:id="rId2808" xr:uid="{00000000-0004-0000-0200-0000F70A0000}"/>
    <hyperlink ref="F2059" r:id="rId2809" xr:uid="{00000000-0004-0000-0200-0000F80A0000}"/>
    <hyperlink ref="G2059" r:id="rId2810" xr:uid="{00000000-0004-0000-0200-0000F90A0000}"/>
    <hyperlink ref="S2059" r:id="rId2811" xr:uid="{00000000-0004-0000-0200-0000FA0A0000}"/>
    <hyperlink ref="F2060" r:id="rId2812" xr:uid="{00000000-0004-0000-0200-0000FB0A0000}"/>
    <hyperlink ref="F2061" r:id="rId2813" xr:uid="{00000000-0004-0000-0200-0000FC0A0000}"/>
    <hyperlink ref="G2061" r:id="rId2814" xr:uid="{00000000-0004-0000-0200-0000FD0A0000}"/>
    <hyperlink ref="F2062" r:id="rId2815" xr:uid="{00000000-0004-0000-0200-0000FE0A0000}"/>
    <hyperlink ref="F2063" r:id="rId2816" xr:uid="{00000000-0004-0000-0200-0000FF0A0000}"/>
    <hyperlink ref="F2064" r:id="rId2817" xr:uid="{00000000-0004-0000-0200-0000000B0000}"/>
    <hyperlink ref="G2065" r:id="rId2818" xr:uid="{00000000-0004-0000-0200-0000010B0000}"/>
    <hyperlink ref="F2066" r:id="rId2819" xr:uid="{00000000-0004-0000-0200-0000020B0000}"/>
    <hyperlink ref="S2066" r:id="rId2820" xr:uid="{00000000-0004-0000-0200-0000030B0000}"/>
    <hyperlink ref="G2067" r:id="rId2821" xr:uid="{00000000-0004-0000-0200-0000040B0000}"/>
    <hyperlink ref="C2069" r:id="rId2822" xr:uid="{00000000-0004-0000-0200-0000050B0000}"/>
    <hyperlink ref="F2069" r:id="rId2823" xr:uid="{00000000-0004-0000-0200-0000060B0000}"/>
    <hyperlink ref="S2069" r:id="rId2824" xr:uid="{00000000-0004-0000-0200-0000070B0000}"/>
    <hyperlink ref="F2070" r:id="rId2825" xr:uid="{00000000-0004-0000-0200-0000080B0000}"/>
    <hyperlink ref="F2071" r:id="rId2826" xr:uid="{00000000-0004-0000-0200-0000090B0000}"/>
    <hyperlink ref="S2071" r:id="rId2827" xr:uid="{00000000-0004-0000-0200-00000A0B0000}"/>
    <hyperlink ref="F2072" r:id="rId2828" xr:uid="{00000000-0004-0000-0200-00000B0B0000}"/>
    <hyperlink ref="S2072" r:id="rId2829" xr:uid="{00000000-0004-0000-0200-00000C0B0000}"/>
    <hyperlink ref="F2073" r:id="rId2830" xr:uid="{00000000-0004-0000-0200-00000D0B0000}"/>
    <hyperlink ref="F2074" r:id="rId2831" xr:uid="{00000000-0004-0000-0200-00000E0B0000}"/>
    <hyperlink ref="G2074" r:id="rId2832" xr:uid="{00000000-0004-0000-0200-00000F0B0000}"/>
    <hyperlink ref="S2074" r:id="rId2833" xr:uid="{00000000-0004-0000-0200-0000100B0000}"/>
    <hyperlink ref="F2075" r:id="rId2834" location=".XAljHpuHlNI.twitter" xr:uid="{00000000-0004-0000-0200-0000110B0000}"/>
    <hyperlink ref="F2076" r:id="rId2835" xr:uid="{00000000-0004-0000-0200-0000120B0000}"/>
    <hyperlink ref="F2077" r:id="rId2836" xr:uid="{00000000-0004-0000-0200-0000130B0000}"/>
    <hyperlink ref="S2077" r:id="rId2837" xr:uid="{00000000-0004-0000-0200-0000140B0000}"/>
    <hyperlink ref="F2078" r:id="rId2838" xr:uid="{00000000-0004-0000-0200-0000150B0000}"/>
    <hyperlink ref="G2078" r:id="rId2839" xr:uid="{00000000-0004-0000-0200-0000160B0000}"/>
    <hyperlink ref="C2079" r:id="rId2840" xr:uid="{00000000-0004-0000-0200-0000170B0000}"/>
    <hyperlink ref="F2079" r:id="rId2841" xr:uid="{00000000-0004-0000-0200-0000180B0000}"/>
    <hyperlink ref="G2079" r:id="rId2842" xr:uid="{00000000-0004-0000-0200-0000190B0000}"/>
    <hyperlink ref="S2079" r:id="rId2843" xr:uid="{00000000-0004-0000-0200-00001A0B0000}"/>
    <hyperlink ref="F2080" r:id="rId2844" xr:uid="{00000000-0004-0000-0200-00001B0B0000}"/>
    <hyperlink ref="G2080" r:id="rId2845" xr:uid="{00000000-0004-0000-0200-00001C0B0000}"/>
    <hyperlink ref="S2080" r:id="rId2846" xr:uid="{00000000-0004-0000-0200-00001D0B0000}"/>
    <hyperlink ref="F2081" r:id="rId2847" xr:uid="{00000000-0004-0000-0200-00001E0B0000}"/>
    <hyperlink ref="S2081" r:id="rId2848" xr:uid="{00000000-0004-0000-0200-00001F0B0000}"/>
    <hyperlink ref="F2082" r:id="rId2849" xr:uid="{00000000-0004-0000-0200-0000200B0000}"/>
    <hyperlink ref="F2083" r:id="rId2850" xr:uid="{00000000-0004-0000-0200-0000210B0000}"/>
    <hyperlink ref="F2084" r:id="rId2851" xr:uid="{00000000-0004-0000-0200-0000220B0000}"/>
    <hyperlink ref="G2084" r:id="rId2852" xr:uid="{00000000-0004-0000-0200-0000230B0000}"/>
    <hyperlink ref="C2085" r:id="rId2853" xr:uid="{00000000-0004-0000-0200-0000240B0000}"/>
    <hyperlink ref="F2085" r:id="rId2854" xr:uid="{00000000-0004-0000-0200-0000250B0000}"/>
    <hyperlink ref="G2085" r:id="rId2855" xr:uid="{00000000-0004-0000-0200-0000260B0000}"/>
    <hyperlink ref="S2085" r:id="rId2856" xr:uid="{00000000-0004-0000-0200-0000270B0000}"/>
    <hyperlink ref="F2087" r:id="rId2857" xr:uid="{00000000-0004-0000-0200-0000280B0000}"/>
    <hyperlink ref="G2088" r:id="rId2858" xr:uid="{00000000-0004-0000-0200-0000290B0000}"/>
    <hyperlink ref="F2089" r:id="rId2859" xr:uid="{00000000-0004-0000-0200-00002A0B0000}"/>
    <hyperlink ref="S2089" r:id="rId2860" xr:uid="{00000000-0004-0000-0200-00002B0B0000}"/>
    <hyperlink ref="F2090" r:id="rId2861" xr:uid="{00000000-0004-0000-0200-00002C0B0000}"/>
    <hyperlink ref="S2090" r:id="rId2862" xr:uid="{00000000-0004-0000-0200-00002D0B0000}"/>
    <hyperlink ref="F2091" r:id="rId2863" xr:uid="{00000000-0004-0000-0200-00002E0B0000}"/>
    <hyperlink ref="G2091" r:id="rId2864" xr:uid="{00000000-0004-0000-0200-00002F0B0000}"/>
    <hyperlink ref="S2091" r:id="rId2865" xr:uid="{00000000-0004-0000-0200-0000300B0000}"/>
    <hyperlink ref="F2092" r:id="rId2866" xr:uid="{00000000-0004-0000-0200-0000310B0000}"/>
    <hyperlink ref="S2092" r:id="rId2867" xr:uid="{00000000-0004-0000-0200-0000320B0000}"/>
    <hyperlink ref="F2093" r:id="rId2868" xr:uid="{00000000-0004-0000-0200-0000330B0000}"/>
    <hyperlink ref="F2094" r:id="rId2869" xr:uid="{00000000-0004-0000-0200-0000340B0000}"/>
    <hyperlink ref="G2095" r:id="rId2870" xr:uid="{00000000-0004-0000-0200-0000350B0000}"/>
    <hyperlink ref="S2095" r:id="rId2871" xr:uid="{00000000-0004-0000-0200-0000360B0000}"/>
    <hyperlink ref="F2096" r:id="rId2872" xr:uid="{00000000-0004-0000-0200-0000370B0000}"/>
    <hyperlink ref="S2097" r:id="rId2873" xr:uid="{00000000-0004-0000-0200-0000380B0000}"/>
    <hyperlink ref="F2099" r:id="rId2874" xr:uid="{00000000-0004-0000-0200-0000390B0000}"/>
    <hyperlink ref="S2100" r:id="rId2875" xr:uid="{00000000-0004-0000-0200-00003A0B0000}"/>
    <hyperlink ref="F2101" r:id="rId2876" xr:uid="{00000000-0004-0000-0200-00003B0B0000}"/>
    <hyperlink ref="G2102" r:id="rId2877" xr:uid="{00000000-0004-0000-0200-00003C0B0000}"/>
    <hyperlink ref="S2102" r:id="rId2878" xr:uid="{00000000-0004-0000-0200-00003D0B0000}"/>
    <hyperlink ref="F2104" r:id="rId2879" xr:uid="{00000000-0004-0000-0200-00003E0B0000}"/>
    <hyperlink ref="F2105" r:id="rId2880" xr:uid="{00000000-0004-0000-0200-00003F0B0000}"/>
    <hyperlink ref="G2105" r:id="rId2881" xr:uid="{00000000-0004-0000-0200-0000400B0000}"/>
    <hyperlink ref="S2105" r:id="rId2882" xr:uid="{00000000-0004-0000-0200-0000410B0000}"/>
    <hyperlink ref="F2106" r:id="rId2883" xr:uid="{00000000-0004-0000-0200-0000420B0000}"/>
    <hyperlink ref="F2107" r:id="rId2884" xr:uid="{00000000-0004-0000-0200-0000430B0000}"/>
    <hyperlink ref="F2108" r:id="rId2885" xr:uid="{00000000-0004-0000-0200-0000440B0000}"/>
    <hyperlink ref="F2109" r:id="rId2886" xr:uid="{00000000-0004-0000-0200-0000450B0000}"/>
    <hyperlink ref="S2109" r:id="rId2887" xr:uid="{00000000-0004-0000-0200-0000460B0000}"/>
    <hyperlink ref="F2110" r:id="rId2888" xr:uid="{00000000-0004-0000-0200-0000470B0000}"/>
    <hyperlink ref="F2111" r:id="rId2889" xr:uid="{00000000-0004-0000-0200-0000480B0000}"/>
    <hyperlink ref="S2111" r:id="rId2890" xr:uid="{00000000-0004-0000-0200-0000490B0000}"/>
    <hyperlink ref="F2112" r:id="rId2891" xr:uid="{00000000-0004-0000-0200-00004A0B0000}"/>
    <hyperlink ref="F2113" r:id="rId2892" xr:uid="{00000000-0004-0000-0200-00004B0B0000}"/>
    <hyperlink ref="S2113" r:id="rId2893" xr:uid="{00000000-0004-0000-0200-00004C0B0000}"/>
    <hyperlink ref="F2114" r:id="rId2894" xr:uid="{00000000-0004-0000-0200-00004D0B0000}"/>
    <hyperlink ref="G2115" r:id="rId2895" xr:uid="{00000000-0004-0000-0200-00004E0B0000}"/>
    <hyperlink ref="F2116" r:id="rId2896" xr:uid="{00000000-0004-0000-0200-00004F0B0000}"/>
    <hyperlink ref="C2117" r:id="rId2897" xr:uid="{00000000-0004-0000-0200-0000500B0000}"/>
    <hyperlink ref="F2117" r:id="rId2898" xr:uid="{00000000-0004-0000-0200-0000510B0000}"/>
    <hyperlink ref="G2117" r:id="rId2899" xr:uid="{00000000-0004-0000-0200-0000520B0000}"/>
    <hyperlink ref="S2117" r:id="rId2900" xr:uid="{00000000-0004-0000-0200-0000530B0000}"/>
    <hyperlink ref="F2118" r:id="rId2901" xr:uid="{00000000-0004-0000-0200-0000540B0000}"/>
    <hyperlink ref="F2119" r:id="rId2902" xr:uid="{00000000-0004-0000-0200-0000550B0000}"/>
    <hyperlink ref="S2119" r:id="rId2903" xr:uid="{00000000-0004-0000-0200-0000560B0000}"/>
    <hyperlink ref="F2120" r:id="rId2904" xr:uid="{00000000-0004-0000-0200-0000570B0000}"/>
    <hyperlink ref="G2120" r:id="rId2905" xr:uid="{00000000-0004-0000-0200-0000580B0000}"/>
    <hyperlink ref="S2120" r:id="rId2906" xr:uid="{00000000-0004-0000-0200-0000590B0000}"/>
    <hyperlink ref="F2121" r:id="rId2907" xr:uid="{00000000-0004-0000-0200-00005A0B0000}"/>
    <hyperlink ref="F2122" r:id="rId2908" xr:uid="{00000000-0004-0000-0200-00005B0B0000}"/>
    <hyperlink ref="S2122" r:id="rId2909" xr:uid="{00000000-0004-0000-0200-00005C0B0000}"/>
    <hyperlink ref="F2123" r:id="rId2910" xr:uid="{00000000-0004-0000-0200-00005D0B0000}"/>
    <hyperlink ref="G2123" r:id="rId2911" xr:uid="{00000000-0004-0000-0200-00005E0B0000}"/>
    <hyperlink ref="S2123" r:id="rId2912" xr:uid="{00000000-0004-0000-0200-00005F0B0000}"/>
    <hyperlink ref="S2124" r:id="rId2913" xr:uid="{00000000-0004-0000-0200-0000600B0000}"/>
    <hyperlink ref="F2125" r:id="rId2914" xr:uid="{00000000-0004-0000-0200-0000610B0000}"/>
    <hyperlink ref="S2125" r:id="rId2915" xr:uid="{00000000-0004-0000-0200-0000620B0000}"/>
    <hyperlink ref="F2126" r:id="rId2916" xr:uid="{00000000-0004-0000-0200-0000630B0000}"/>
    <hyperlink ref="S2126" r:id="rId2917" xr:uid="{00000000-0004-0000-0200-0000640B0000}"/>
    <hyperlink ref="F2127" r:id="rId2918" xr:uid="{00000000-0004-0000-0200-0000650B0000}"/>
    <hyperlink ref="G2127" r:id="rId2919" xr:uid="{00000000-0004-0000-0200-0000660B0000}"/>
    <hyperlink ref="F2128" r:id="rId2920" xr:uid="{00000000-0004-0000-0200-0000670B0000}"/>
    <hyperlink ref="S2128" r:id="rId2921" xr:uid="{00000000-0004-0000-0200-0000680B0000}"/>
    <hyperlink ref="F2129" r:id="rId2922" xr:uid="{00000000-0004-0000-0200-0000690B0000}"/>
    <hyperlink ref="S2129" r:id="rId2923" xr:uid="{00000000-0004-0000-0200-00006A0B0000}"/>
    <hyperlink ref="F2130" r:id="rId2924" xr:uid="{00000000-0004-0000-0200-00006B0B0000}"/>
    <hyperlink ref="G2130" r:id="rId2925" xr:uid="{00000000-0004-0000-0200-00006C0B0000}"/>
    <hyperlink ref="S2130" r:id="rId2926" xr:uid="{00000000-0004-0000-0200-00006D0B0000}"/>
    <hyperlink ref="F2131" r:id="rId2927" xr:uid="{00000000-0004-0000-0200-00006E0B0000}"/>
    <hyperlink ref="S2131" r:id="rId2928" xr:uid="{00000000-0004-0000-0200-00006F0B0000}"/>
    <hyperlink ref="F2133" r:id="rId2929" xr:uid="{00000000-0004-0000-0200-0000700B0000}"/>
    <hyperlink ref="F2134" r:id="rId2930" xr:uid="{00000000-0004-0000-0200-0000710B0000}"/>
    <hyperlink ref="F2135" r:id="rId2931" xr:uid="{00000000-0004-0000-0200-0000720B0000}"/>
    <hyperlink ref="F2137" r:id="rId2932" location=".XAlTBB3dy3s.twitter" xr:uid="{00000000-0004-0000-0200-0000730B0000}"/>
    <hyperlink ref="F2138" r:id="rId2933" xr:uid="{00000000-0004-0000-0200-0000740B0000}"/>
    <hyperlink ref="F2139" r:id="rId2934" xr:uid="{00000000-0004-0000-0200-0000750B0000}"/>
    <hyperlink ref="F2140" r:id="rId2935" xr:uid="{00000000-0004-0000-0200-0000760B0000}"/>
    <hyperlink ref="S2140" r:id="rId2936" xr:uid="{00000000-0004-0000-0200-0000770B0000}"/>
    <hyperlink ref="G2141" r:id="rId2937" xr:uid="{00000000-0004-0000-0200-0000780B0000}"/>
    <hyperlink ref="F2142" r:id="rId2938" xr:uid="{00000000-0004-0000-0200-0000790B0000}"/>
    <hyperlink ref="F2143" r:id="rId2939" xr:uid="{00000000-0004-0000-0200-00007A0B0000}"/>
    <hyperlink ref="S2143" r:id="rId2940" xr:uid="{00000000-0004-0000-0200-00007B0B0000}"/>
    <hyperlink ref="F2144" r:id="rId2941" xr:uid="{00000000-0004-0000-0200-00007C0B0000}"/>
    <hyperlink ref="S2144" r:id="rId2942" xr:uid="{00000000-0004-0000-0200-00007D0B0000}"/>
    <hyperlink ref="F2145" r:id="rId2943" xr:uid="{00000000-0004-0000-0200-00007E0B0000}"/>
    <hyperlink ref="F2146" r:id="rId2944" xr:uid="{00000000-0004-0000-0200-00007F0B0000}"/>
    <hyperlink ref="F2147" r:id="rId2945" xr:uid="{00000000-0004-0000-0200-0000800B0000}"/>
    <hyperlink ref="S2147" r:id="rId2946" xr:uid="{00000000-0004-0000-0200-0000810B0000}"/>
    <hyperlink ref="F2148" r:id="rId2947" xr:uid="{00000000-0004-0000-0200-0000820B0000}"/>
    <hyperlink ref="G2149" r:id="rId2948" xr:uid="{00000000-0004-0000-0200-0000830B0000}"/>
    <hyperlink ref="S2149" r:id="rId2949" xr:uid="{00000000-0004-0000-0200-0000840B0000}"/>
    <hyperlink ref="F2150" r:id="rId2950" xr:uid="{00000000-0004-0000-0200-0000850B0000}"/>
    <hyperlink ref="G2150" r:id="rId2951" xr:uid="{00000000-0004-0000-0200-0000860B0000}"/>
    <hyperlink ref="S2150" r:id="rId2952" xr:uid="{00000000-0004-0000-0200-0000870B0000}"/>
    <hyperlink ref="G2151" r:id="rId2953" xr:uid="{00000000-0004-0000-0200-0000880B0000}"/>
    <hyperlink ref="F2152" r:id="rId2954" xr:uid="{00000000-0004-0000-0200-0000890B0000}"/>
    <hyperlink ref="G2152" r:id="rId2955" xr:uid="{00000000-0004-0000-0200-00008A0B0000}"/>
    <hyperlink ref="S2152" r:id="rId2956" xr:uid="{00000000-0004-0000-0200-00008B0B0000}"/>
    <hyperlink ref="F2153" r:id="rId2957" xr:uid="{00000000-0004-0000-0200-00008C0B0000}"/>
    <hyperlink ref="F2154" r:id="rId2958" xr:uid="{00000000-0004-0000-0200-00008D0B0000}"/>
    <hyperlink ref="G2154" r:id="rId2959" xr:uid="{00000000-0004-0000-0200-00008E0B0000}"/>
    <hyperlink ref="F2155" r:id="rId2960" xr:uid="{00000000-0004-0000-0200-00008F0B0000}"/>
    <hyperlink ref="F2156" r:id="rId2961" xr:uid="{00000000-0004-0000-0200-0000900B0000}"/>
    <hyperlink ref="G2156" r:id="rId2962" xr:uid="{00000000-0004-0000-0200-0000910B0000}"/>
    <hyperlink ref="S2156" r:id="rId2963" xr:uid="{00000000-0004-0000-0200-0000920B0000}"/>
    <hyperlink ref="F2157" r:id="rId2964" xr:uid="{00000000-0004-0000-0200-0000930B0000}"/>
    <hyperlink ref="G2157" r:id="rId2965" xr:uid="{00000000-0004-0000-0200-0000940B0000}"/>
    <hyperlink ref="S2157" r:id="rId2966" xr:uid="{00000000-0004-0000-0200-0000950B0000}"/>
    <hyperlink ref="C2158" r:id="rId2967" xr:uid="{00000000-0004-0000-0200-0000960B0000}"/>
    <hyperlink ref="F2158" r:id="rId2968" xr:uid="{00000000-0004-0000-0200-0000970B0000}"/>
    <hyperlink ref="G2158" r:id="rId2969" xr:uid="{00000000-0004-0000-0200-0000980B0000}"/>
    <hyperlink ref="S2158" r:id="rId2970" xr:uid="{00000000-0004-0000-0200-0000990B0000}"/>
    <hyperlink ref="F2159" r:id="rId2971" xr:uid="{00000000-0004-0000-0200-00009A0B0000}"/>
    <hyperlink ref="S2159" r:id="rId2972" xr:uid="{00000000-0004-0000-0200-00009B0B0000}"/>
    <hyperlink ref="F2160" r:id="rId2973" xr:uid="{00000000-0004-0000-0200-00009C0B0000}"/>
    <hyperlink ref="S2160" r:id="rId2974" xr:uid="{00000000-0004-0000-0200-00009D0B0000}"/>
    <hyperlink ref="F2161" r:id="rId2975" xr:uid="{00000000-0004-0000-0200-00009E0B0000}"/>
    <hyperlink ref="F2163" r:id="rId2976" xr:uid="{00000000-0004-0000-0200-00009F0B0000}"/>
    <hyperlink ref="F2164" r:id="rId2977" xr:uid="{00000000-0004-0000-0200-0000A00B0000}"/>
    <hyperlink ref="G2164" r:id="rId2978" xr:uid="{00000000-0004-0000-0200-0000A10B0000}"/>
    <hyperlink ref="F2165" r:id="rId2979" xr:uid="{00000000-0004-0000-0200-0000A20B0000}"/>
    <hyperlink ref="S2165" r:id="rId2980" xr:uid="{00000000-0004-0000-0200-0000A30B0000}"/>
    <hyperlink ref="F2167" r:id="rId2981" xr:uid="{00000000-0004-0000-0200-0000A40B0000}"/>
    <hyperlink ref="G2167" r:id="rId2982" xr:uid="{00000000-0004-0000-0200-0000A50B0000}"/>
    <hyperlink ref="S2167" r:id="rId2983" xr:uid="{00000000-0004-0000-0200-0000A60B0000}"/>
    <hyperlink ref="F2168" r:id="rId2984" xr:uid="{00000000-0004-0000-0200-0000A70B0000}"/>
    <hyperlink ref="F2169" r:id="rId2985" xr:uid="{00000000-0004-0000-0200-0000A80B0000}"/>
    <hyperlink ref="S2169" r:id="rId2986" xr:uid="{00000000-0004-0000-0200-0000A90B0000}"/>
    <hyperlink ref="F2170" r:id="rId2987" xr:uid="{00000000-0004-0000-0200-0000AA0B0000}"/>
    <hyperlink ref="F2171" r:id="rId2988" xr:uid="{00000000-0004-0000-0200-0000AB0B0000}"/>
    <hyperlink ref="G2171" r:id="rId2989" xr:uid="{00000000-0004-0000-0200-0000AC0B0000}"/>
    <hyperlink ref="S2171" r:id="rId2990" xr:uid="{00000000-0004-0000-0200-0000AD0B0000}"/>
    <hyperlink ref="F2172" r:id="rId2991" xr:uid="{00000000-0004-0000-0200-0000AE0B0000}"/>
    <hyperlink ref="S2172" r:id="rId2992" xr:uid="{00000000-0004-0000-0200-0000AF0B0000}"/>
    <hyperlink ref="G2173" r:id="rId2993" xr:uid="{00000000-0004-0000-0200-0000B00B0000}"/>
    <hyperlink ref="F2174" r:id="rId2994" xr:uid="{00000000-0004-0000-0200-0000B10B0000}"/>
    <hyperlink ref="F2175" r:id="rId2995" xr:uid="{00000000-0004-0000-0200-0000B20B0000}"/>
    <hyperlink ref="S2175" r:id="rId2996" xr:uid="{00000000-0004-0000-0200-0000B30B0000}"/>
    <hyperlink ref="F2176" r:id="rId2997" xr:uid="{00000000-0004-0000-0200-0000B40B0000}"/>
    <hyperlink ref="F2177" r:id="rId2998" location="?ref=rss&amp;format=simple&amp;link=link" xr:uid="{00000000-0004-0000-0200-0000B50B0000}"/>
    <hyperlink ref="F2178" r:id="rId2999" xr:uid="{00000000-0004-0000-0200-0000B60B0000}"/>
    <hyperlink ref="S2178" r:id="rId3000" xr:uid="{00000000-0004-0000-0200-0000B70B0000}"/>
    <hyperlink ref="F2179" r:id="rId3001" xr:uid="{00000000-0004-0000-0200-0000B80B0000}"/>
    <hyperlink ref="F2180" r:id="rId3002" xr:uid="{00000000-0004-0000-0200-0000B90B0000}"/>
    <hyperlink ref="G2180" r:id="rId3003" xr:uid="{00000000-0004-0000-0200-0000BA0B0000}"/>
    <hyperlink ref="S2180" r:id="rId3004" xr:uid="{00000000-0004-0000-0200-0000BB0B0000}"/>
    <hyperlink ref="F2181" r:id="rId3005" xr:uid="{00000000-0004-0000-0200-0000BC0B0000}"/>
    <hyperlink ref="G2181" r:id="rId3006" xr:uid="{00000000-0004-0000-0200-0000BD0B0000}"/>
    <hyperlink ref="S2181" r:id="rId3007" xr:uid="{00000000-0004-0000-0200-0000BE0B0000}"/>
    <hyperlink ref="F2182" r:id="rId3008" xr:uid="{00000000-0004-0000-0200-0000BF0B0000}"/>
    <hyperlink ref="F2183" r:id="rId3009" location="ns_campaign=rrss-inducido&amp;ns_mchannel=abc-es&amp;ns_source=tw&amp;ns_linkname=noticia-video&amp;ns_fee=0" xr:uid="{00000000-0004-0000-0200-0000C00B0000}"/>
    <hyperlink ref="F2184" r:id="rId3010" xr:uid="{00000000-0004-0000-0200-0000C10B0000}"/>
    <hyperlink ref="G2184" r:id="rId3011" xr:uid="{00000000-0004-0000-0200-0000C20B0000}"/>
    <hyperlink ref="S2184" r:id="rId3012" xr:uid="{00000000-0004-0000-0200-0000C30B0000}"/>
    <hyperlink ref="F2185" r:id="rId3013" xr:uid="{00000000-0004-0000-0200-0000C40B0000}"/>
    <hyperlink ref="G2185" r:id="rId3014" xr:uid="{00000000-0004-0000-0200-0000C50B0000}"/>
    <hyperlink ref="S2185" r:id="rId3015" xr:uid="{00000000-0004-0000-0200-0000C60B0000}"/>
    <hyperlink ref="F2186" r:id="rId3016" xr:uid="{00000000-0004-0000-0200-0000C70B0000}"/>
    <hyperlink ref="F2187" r:id="rId3017" xr:uid="{00000000-0004-0000-0200-0000C80B0000}"/>
    <hyperlink ref="G2187" r:id="rId3018" xr:uid="{00000000-0004-0000-0200-0000C90B0000}"/>
    <hyperlink ref="G2188" r:id="rId3019" xr:uid="{00000000-0004-0000-0200-0000CA0B0000}"/>
    <hyperlink ref="F2189" r:id="rId3020" xr:uid="{00000000-0004-0000-0200-0000CB0B0000}"/>
    <hyperlink ref="S2189" r:id="rId3021" xr:uid="{00000000-0004-0000-0200-0000CC0B0000}"/>
    <hyperlink ref="F2190" r:id="rId3022" xr:uid="{00000000-0004-0000-0200-0000CD0B0000}"/>
    <hyperlink ref="S2191" r:id="rId3023" xr:uid="{00000000-0004-0000-0200-0000CE0B0000}"/>
    <hyperlink ref="S2192" r:id="rId3024" xr:uid="{00000000-0004-0000-0200-0000CF0B0000}"/>
    <hyperlink ref="F2193" r:id="rId3025" xr:uid="{00000000-0004-0000-0200-0000D00B0000}"/>
    <hyperlink ref="F2194" r:id="rId3026" xr:uid="{00000000-0004-0000-0200-0000D10B0000}"/>
    <hyperlink ref="F2195" r:id="rId3027" location="ns_campaign=amp-rrss-inducido&amp;ns_mchannel=abc-es&amp;ns_source=tw&amp;ns_linkname=noticia.video&amp;ns_fee=0" xr:uid="{00000000-0004-0000-0200-0000D20B0000}"/>
    <hyperlink ref="R2196" r:id="rId3028" xr:uid="{00000000-0004-0000-0200-0000D30B0000}"/>
    <hyperlink ref="S2196" r:id="rId3029" xr:uid="{00000000-0004-0000-0200-0000D40B0000}"/>
    <hyperlink ref="F2197" r:id="rId3030" xr:uid="{00000000-0004-0000-0200-0000D50B0000}"/>
    <hyperlink ref="S2197" r:id="rId3031" xr:uid="{00000000-0004-0000-0200-0000D60B0000}"/>
    <hyperlink ref="F2198" r:id="rId3032" location="ns_campaign=rrss-inducido&amp;ns_mchannel=abc-es&amp;ns_source=tw&amp;ns_linkname=noticia-video&amp;ns_fee=0" xr:uid="{00000000-0004-0000-0200-0000D70B0000}"/>
    <hyperlink ref="F2199" r:id="rId3033" xr:uid="{00000000-0004-0000-0200-0000D80B0000}"/>
    <hyperlink ref="F2200" r:id="rId3034" xr:uid="{00000000-0004-0000-0200-0000D90B0000}"/>
    <hyperlink ref="S2200" r:id="rId3035" xr:uid="{00000000-0004-0000-0200-0000DA0B0000}"/>
    <hyperlink ref="F2201" r:id="rId3036" xr:uid="{00000000-0004-0000-0200-0000DB0B0000}"/>
    <hyperlink ref="S2201" r:id="rId3037" xr:uid="{00000000-0004-0000-0200-0000DC0B0000}"/>
    <hyperlink ref="F2202" r:id="rId3038" xr:uid="{00000000-0004-0000-0200-0000DD0B0000}"/>
    <hyperlink ref="S2202" r:id="rId3039" xr:uid="{00000000-0004-0000-0200-0000DE0B0000}"/>
    <hyperlink ref="F2203" r:id="rId3040" xr:uid="{00000000-0004-0000-0200-0000DF0B0000}"/>
    <hyperlink ref="G2203" r:id="rId3041" xr:uid="{00000000-0004-0000-0200-0000E00B0000}"/>
    <hyperlink ref="S2203" r:id="rId3042" xr:uid="{00000000-0004-0000-0200-0000E10B0000}"/>
    <hyperlink ref="F2204" r:id="rId3043" xr:uid="{00000000-0004-0000-0200-0000E20B0000}"/>
    <hyperlink ref="G2204" r:id="rId3044" xr:uid="{00000000-0004-0000-0200-0000E30B0000}"/>
    <hyperlink ref="S2204" r:id="rId3045" xr:uid="{00000000-0004-0000-0200-0000E40B0000}"/>
    <hyperlink ref="F2205" r:id="rId3046" xr:uid="{00000000-0004-0000-0200-0000E50B0000}"/>
    <hyperlink ref="S2205" r:id="rId3047" xr:uid="{00000000-0004-0000-0200-0000E60B0000}"/>
    <hyperlink ref="F2206" r:id="rId3048" xr:uid="{00000000-0004-0000-0200-0000E70B0000}"/>
    <hyperlink ref="G2207" r:id="rId3049" xr:uid="{00000000-0004-0000-0200-0000E80B0000}"/>
    <hyperlink ref="F2208" r:id="rId3050" xr:uid="{00000000-0004-0000-0200-0000E90B0000}"/>
    <hyperlink ref="F2209" r:id="rId3051" xr:uid="{00000000-0004-0000-0200-0000EA0B0000}"/>
    <hyperlink ref="S2209" r:id="rId3052" xr:uid="{00000000-0004-0000-0200-0000EB0B0000}"/>
    <hyperlink ref="F2210" r:id="rId3053" xr:uid="{00000000-0004-0000-0200-0000EC0B0000}"/>
    <hyperlink ref="S2210" r:id="rId3054" xr:uid="{00000000-0004-0000-0200-0000ED0B0000}"/>
    <hyperlink ref="F2211" r:id="rId3055" xr:uid="{00000000-0004-0000-0200-0000EE0B0000}"/>
    <hyperlink ref="F2212" r:id="rId3056" xr:uid="{00000000-0004-0000-0200-0000EF0B0000}"/>
    <hyperlink ref="F2213" r:id="rId3057" xr:uid="{00000000-0004-0000-0200-0000F00B0000}"/>
    <hyperlink ref="S2214" r:id="rId3058" xr:uid="{00000000-0004-0000-0200-0000F10B0000}"/>
    <hyperlink ref="F2215" r:id="rId3059" xr:uid="{00000000-0004-0000-0200-0000F20B0000}"/>
    <hyperlink ref="F2216" r:id="rId3060" xr:uid="{00000000-0004-0000-0200-0000F30B0000}"/>
    <hyperlink ref="F2217" r:id="rId3061" xr:uid="{00000000-0004-0000-0200-0000F40B0000}"/>
    <hyperlink ref="S2217" r:id="rId3062" xr:uid="{00000000-0004-0000-0200-0000F50B0000}"/>
    <hyperlink ref="F2218" r:id="rId3063" xr:uid="{00000000-0004-0000-0200-0000F60B0000}"/>
    <hyperlink ref="G2218" r:id="rId3064" xr:uid="{00000000-0004-0000-0200-0000F70B0000}"/>
    <hyperlink ref="S2218" r:id="rId3065" xr:uid="{00000000-0004-0000-0200-0000F80B0000}"/>
    <hyperlink ref="F2219" r:id="rId3066" xr:uid="{00000000-0004-0000-0200-0000F90B0000}"/>
    <hyperlink ref="G2219" r:id="rId3067" xr:uid="{00000000-0004-0000-0200-0000FA0B0000}"/>
    <hyperlink ref="F2220" r:id="rId3068" xr:uid="{00000000-0004-0000-0200-0000FB0B0000}"/>
    <hyperlink ref="S2220" r:id="rId3069" xr:uid="{00000000-0004-0000-0200-0000FC0B0000}"/>
    <hyperlink ref="F2221" r:id="rId3070" xr:uid="{00000000-0004-0000-0200-0000FD0B0000}"/>
    <hyperlink ref="G2221" r:id="rId3071" xr:uid="{00000000-0004-0000-0200-0000FE0B0000}"/>
    <hyperlink ref="S2221" r:id="rId3072" xr:uid="{00000000-0004-0000-0200-0000FF0B0000}"/>
    <hyperlink ref="F2222" r:id="rId3073" xr:uid="{00000000-0004-0000-0200-0000000C0000}"/>
    <hyperlink ref="S2222" r:id="rId3074" xr:uid="{00000000-0004-0000-0200-0000010C0000}"/>
    <hyperlink ref="F2223" r:id="rId3075" xr:uid="{00000000-0004-0000-0200-0000020C0000}"/>
    <hyperlink ref="F2224" r:id="rId3076" xr:uid="{00000000-0004-0000-0200-0000030C0000}"/>
    <hyperlink ref="F2225" r:id="rId3077" xr:uid="{00000000-0004-0000-0200-0000040C0000}"/>
    <hyperlink ref="G2226" r:id="rId3078" xr:uid="{00000000-0004-0000-0200-0000050C0000}"/>
    <hyperlink ref="G2227" r:id="rId3079" xr:uid="{00000000-0004-0000-0200-0000060C0000}"/>
    <hyperlink ref="S2227" r:id="rId3080" xr:uid="{00000000-0004-0000-0200-0000070C0000}"/>
    <hyperlink ref="F2228" r:id="rId3081" xr:uid="{00000000-0004-0000-0200-0000080C0000}"/>
    <hyperlink ref="S2228" r:id="rId3082" xr:uid="{00000000-0004-0000-0200-0000090C0000}"/>
    <hyperlink ref="F2229" r:id="rId3083" xr:uid="{00000000-0004-0000-0200-00000A0C0000}"/>
    <hyperlink ref="F2230" r:id="rId3084" xr:uid="{00000000-0004-0000-0200-00000B0C0000}"/>
    <hyperlink ref="G2230" r:id="rId3085" xr:uid="{00000000-0004-0000-0200-00000C0C0000}"/>
    <hyperlink ref="S2230" r:id="rId3086" xr:uid="{00000000-0004-0000-0200-00000D0C0000}"/>
    <hyperlink ref="G2232" r:id="rId3087" xr:uid="{00000000-0004-0000-0200-00000E0C0000}"/>
    <hyperlink ref="S2232" r:id="rId3088" xr:uid="{00000000-0004-0000-0200-00000F0C0000}"/>
    <hyperlink ref="F2233" r:id="rId3089" xr:uid="{00000000-0004-0000-0200-0000100C0000}"/>
    <hyperlink ref="F2234" r:id="rId3090" xr:uid="{00000000-0004-0000-0200-0000110C0000}"/>
    <hyperlink ref="F2236" r:id="rId3091" xr:uid="{00000000-0004-0000-0200-0000120C0000}"/>
    <hyperlink ref="S2237" r:id="rId3092" xr:uid="{00000000-0004-0000-0200-0000130C0000}"/>
    <hyperlink ref="F2238" r:id="rId3093" xr:uid="{00000000-0004-0000-0200-0000140C0000}"/>
    <hyperlink ref="S2238" r:id="rId3094" xr:uid="{00000000-0004-0000-0200-0000150C0000}"/>
    <hyperlink ref="G2239" r:id="rId3095" xr:uid="{00000000-0004-0000-0200-0000160C0000}"/>
    <hyperlink ref="F2240" r:id="rId3096" xr:uid="{00000000-0004-0000-0200-0000170C0000}"/>
    <hyperlink ref="F2241" r:id="rId3097" xr:uid="{00000000-0004-0000-0200-0000180C0000}"/>
    <hyperlink ref="F2242" r:id="rId3098" xr:uid="{00000000-0004-0000-0200-0000190C0000}"/>
    <hyperlink ref="G2242" r:id="rId3099" xr:uid="{00000000-0004-0000-0200-00001A0C0000}"/>
    <hyperlink ref="F2243" r:id="rId3100" xr:uid="{00000000-0004-0000-0200-00001B0C0000}"/>
    <hyperlink ref="F2244" r:id="rId3101" xr:uid="{00000000-0004-0000-0200-00001C0C0000}"/>
    <hyperlink ref="F2247" r:id="rId3102" xr:uid="{00000000-0004-0000-0200-00001D0C0000}"/>
    <hyperlink ref="G2247" r:id="rId3103" xr:uid="{00000000-0004-0000-0200-00001E0C0000}"/>
    <hyperlink ref="S2247" r:id="rId3104" xr:uid="{00000000-0004-0000-0200-00001F0C0000}"/>
    <hyperlink ref="G2248" r:id="rId3105" xr:uid="{00000000-0004-0000-0200-0000200C0000}"/>
    <hyperlink ref="S2248" r:id="rId3106" xr:uid="{00000000-0004-0000-0200-0000210C0000}"/>
    <hyperlink ref="F2249" r:id="rId3107" xr:uid="{00000000-0004-0000-0200-0000220C0000}"/>
    <hyperlink ref="F2250" r:id="rId3108" xr:uid="{00000000-0004-0000-0200-0000230C0000}"/>
    <hyperlink ref="F2251" r:id="rId3109" xr:uid="{00000000-0004-0000-0200-0000240C0000}"/>
    <hyperlink ref="F2252" r:id="rId3110" xr:uid="{00000000-0004-0000-0200-0000250C0000}"/>
    <hyperlink ref="S2252" r:id="rId3111" xr:uid="{00000000-0004-0000-0200-0000260C0000}"/>
    <hyperlink ref="F2253" r:id="rId3112" xr:uid="{00000000-0004-0000-0200-0000270C0000}"/>
    <hyperlink ref="G2253" r:id="rId3113" xr:uid="{00000000-0004-0000-0200-0000280C0000}"/>
    <hyperlink ref="F2255" r:id="rId3114" xr:uid="{00000000-0004-0000-0200-0000290C0000}"/>
    <hyperlink ref="F2256" r:id="rId3115" xr:uid="{00000000-0004-0000-0200-00002A0C0000}"/>
    <hyperlink ref="F2257" r:id="rId3116" xr:uid="{00000000-0004-0000-0200-00002B0C0000}"/>
    <hyperlink ref="F2259" r:id="rId3117" xr:uid="{00000000-0004-0000-0200-00002C0C0000}"/>
    <hyperlink ref="S2259" r:id="rId3118" xr:uid="{00000000-0004-0000-0200-00002D0C0000}"/>
    <hyperlink ref="F2261" r:id="rId3119" xr:uid="{00000000-0004-0000-0200-00002E0C0000}"/>
    <hyperlink ref="S2262" r:id="rId3120" xr:uid="{00000000-0004-0000-0200-00002F0C0000}"/>
    <hyperlink ref="F2263" r:id="rId3121" xr:uid="{00000000-0004-0000-0200-0000300C0000}"/>
    <hyperlink ref="F2264" r:id="rId3122" xr:uid="{00000000-0004-0000-0200-0000310C0000}"/>
    <hyperlink ref="S2264" r:id="rId3123" xr:uid="{00000000-0004-0000-0200-0000320C0000}"/>
    <hyperlink ref="F2265" r:id="rId3124" xr:uid="{00000000-0004-0000-0200-0000330C0000}"/>
    <hyperlink ref="F2266" r:id="rId3125" xr:uid="{00000000-0004-0000-0200-0000340C0000}"/>
    <hyperlink ref="S2266" r:id="rId3126" xr:uid="{00000000-0004-0000-0200-0000350C0000}"/>
    <hyperlink ref="F2267" r:id="rId3127" xr:uid="{00000000-0004-0000-0200-0000360C0000}"/>
    <hyperlink ref="S2267" r:id="rId3128" xr:uid="{00000000-0004-0000-0200-0000370C0000}"/>
    <hyperlink ref="F2268" r:id="rId3129" xr:uid="{00000000-0004-0000-0200-0000380C0000}"/>
    <hyperlink ref="F2269" r:id="rId3130" xr:uid="{00000000-0004-0000-0200-0000390C0000}"/>
    <hyperlink ref="F2270" r:id="rId3131" xr:uid="{00000000-0004-0000-0200-00003A0C0000}"/>
    <hyperlink ref="S2270" r:id="rId3132" xr:uid="{00000000-0004-0000-0200-00003B0C0000}"/>
    <hyperlink ref="F2271" r:id="rId3133" xr:uid="{00000000-0004-0000-0200-00003C0C0000}"/>
    <hyperlink ref="G2271" r:id="rId3134" xr:uid="{00000000-0004-0000-0200-00003D0C0000}"/>
    <hyperlink ref="S2271" r:id="rId3135" xr:uid="{00000000-0004-0000-0200-00003E0C0000}"/>
    <hyperlink ref="F2272" r:id="rId3136" xr:uid="{00000000-0004-0000-0200-00003F0C0000}"/>
    <hyperlink ref="S2272" r:id="rId3137" xr:uid="{00000000-0004-0000-0200-0000400C0000}"/>
    <hyperlink ref="F2273" r:id="rId3138" location=".XAk43pV_PMw.twitter" xr:uid="{00000000-0004-0000-0200-0000410C0000}"/>
    <hyperlink ref="F2274" r:id="rId3139" xr:uid="{00000000-0004-0000-0200-0000420C0000}"/>
    <hyperlink ref="F2275" r:id="rId3140" xr:uid="{00000000-0004-0000-0200-0000430C0000}"/>
    <hyperlink ref="S2275" r:id="rId3141" xr:uid="{00000000-0004-0000-0200-0000440C0000}"/>
    <hyperlink ref="F2276" r:id="rId3142" xr:uid="{00000000-0004-0000-0200-0000450C0000}"/>
    <hyperlink ref="S2276" r:id="rId3143" xr:uid="{00000000-0004-0000-0200-0000460C0000}"/>
    <hyperlink ref="F2277" r:id="rId3144" xr:uid="{00000000-0004-0000-0200-0000470C0000}"/>
    <hyperlink ref="S2277" r:id="rId3145" xr:uid="{00000000-0004-0000-0200-0000480C0000}"/>
    <hyperlink ref="G2278" r:id="rId3146" xr:uid="{00000000-0004-0000-0200-0000490C0000}"/>
    <hyperlink ref="S2278" r:id="rId3147" xr:uid="{00000000-0004-0000-0200-00004A0C0000}"/>
    <hyperlink ref="F2281" r:id="rId3148" xr:uid="{00000000-0004-0000-0200-00004B0C0000}"/>
    <hyperlink ref="F2283" r:id="rId3149" xr:uid="{00000000-0004-0000-0200-00004C0C0000}"/>
    <hyperlink ref="F2284" r:id="rId3150" xr:uid="{00000000-0004-0000-0200-00004D0C0000}"/>
    <hyperlink ref="F2285" r:id="rId3151" xr:uid="{00000000-0004-0000-0200-00004E0C0000}"/>
    <hyperlink ref="G2285" r:id="rId3152" xr:uid="{00000000-0004-0000-0200-00004F0C0000}"/>
    <hyperlink ref="S2285" r:id="rId3153" xr:uid="{00000000-0004-0000-0200-0000500C0000}"/>
    <hyperlink ref="F2286" r:id="rId3154" xr:uid="{00000000-0004-0000-0200-0000510C0000}"/>
    <hyperlink ref="S2286" r:id="rId3155" xr:uid="{00000000-0004-0000-0200-0000520C0000}"/>
    <hyperlink ref="F2287" r:id="rId3156" xr:uid="{00000000-0004-0000-0200-0000530C0000}"/>
    <hyperlink ref="S2287" r:id="rId3157" xr:uid="{00000000-0004-0000-0200-0000540C0000}"/>
    <hyperlink ref="F2288" r:id="rId3158" xr:uid="{00000000-0004-0000-0200-0000550C0000}"/>
    <hyperlink ref="S2288" r:id="rId3159" xr:uid="{00000000-0004-0000-0200-0000560C0000}"/>
    <hyperlink ref="G2289" r:id="rId3160" xr:uid="{00000000-0004-0000-0200-0000570C0000}"/>
    <hyperlink ref="F2290" r:id="rId3161" xr:uid="{00000000-0004-0000-0200-0000580C0000}"/>
    <hyperlink ref="G2290" r:id="rId3162" xr:uid="{00000000-0004-0000-0200-0000590C0000}"/>
    <hyperlink ref="S2290" r:id="rId3163" xr:uid="{00000000-0004-0000-0200-00005A0C0000}"/>
    <hyperlink ref="F2291" r:id="rId3164" xr:uid="{00000000-0004-0000-0200-00005B0C0000}"/>
    <hyperlink ref="G2292" r:id="rId3165" xr:uid="{00000000-0004-0000-0200-00005C0C0000}"/>
    <hyperlink ref="F2293" r:id="rId3166" xr:uid="{00000000-0004-0000-0200-00005D0C0000}"/>
    <hyperlink ref="F2295" r:id="rId3167" xr:uid="{00000000-0004-0000-0200-00005E0C0000}"/>
    <hyperlink ref="S2295" r:id="rId3168" xr:uid="{00000000-0004-0000-0200-00005F0C0000}"/>
    <hyperlink ref="F2296" r:id="rId3169" xr:uid="{00000000-0004-0000-0200-0000600C0000}"/>
    <hyperlink ref="S2296" r:id="rId3170" xr:uid="{00000000-0004-0000-0200-0000610C0000}"/>
    <hyperlink ref="F2297" r:id="rId3171" xr:uid="{00000000-0004-0000-0200-0000620C0000}"/>
    <hyperlink ref="S2297" r:id="rId3172" xr:uid="{00000000-0004-0000-0200-0000630C0000}"/>
    <hyperlink ref="F2298" r:id="rId3173" xr:uid="{00000000-0004-0000-0200-0000640C0000}"/>
    <hyperlink ref="S2298" r:id="rId3174" xr:uid="{00000000-0004-0000-0200-0000650C0000}"/>
    <hyperlink ref="F2299" r:id="rId3175" xr:uid="{00000000-0004-0000-0200-0000660C0000}"/>
    <hyperlink ref="S2299" r:id="rId3176" xr:uid="{00000000-0004-0000-0200-0000670C0000}"/>
    <hyperlink ref="S2300" r:id="rId3177" xr:uid="{00000000-0004-0000-0200-0000680C0000}"/>
    <hyperlink ref="S2301" r:id="rId3178" xr:uid="{00000000-0004-0000-0200-0000690C0000}"/>
    <hyperlink ref="S2302" r:id="rId3179" xr:uid="{00000000-0004-0000-0200-00006A0C0000}"/>
    <hyperlink ref="F2303" r:id="rId3180" xr:uid="{00000000-0004-0000-0200-00006B0C0000}"/>
    <hyperlink ref="S2303" r:id="rId3181" xr:uid="{00000000-0004-0000-0200-00006C0C0000}"/>
    <hyperlink ref="F2304" r:id="rId3182" xr:uid="{00000000-0004-0000-0200-00006D0C0000}"/>
    <hyperlink ref="G2304" r:id="rId3183" xr:uid="{00000000-0004-0000-0200-00006E0C0000}"/>
    <hyperlink ref="S2304" r:id="rId3184" xr:uid="{00000000-0004-0000-0200-00006F0C0000}"/>
    <hyperlink ref="F2305" r:id="rId3185" xr:uid="{00000000-0004-0000-0200-0000700C0000}"/>
    <hyperlink ref="S2305" r:id="rId3186" xr:uid="{00000000-0004-0000-0200-0000710C0000}"/>
    <hyperlink ref="F2306" r:id="rId3187" xr:uid="{00000000-0004-0000-0200-0000720C0000}"/>
    <hyperlink ref="G2306" r:id="rId3188" xr:uid="{00000000-0004-0000-0200-0000730C0000}"/>
    <hyperlink ref="F2307" r:id="rId3189" xr:uid="{00000000-0004-0000-0200-0000740C0000}"/>
    <hyperlink ref="F2308" r:id="rId3190" xr:uid="{00000000-0004-0000-0200-0000750C0000}"/>
    <hyperlink ref="S2308" r:id="rId3191" xr:uid="{00000000-0004-0000-0200-0000760C0000}"/>
    <hyperlink ref="C2309" r:id="rId3192" xr:uid="{00000000-0004-0000-0200-0000770C0000}"/>
    <hyperlink ref="F2309" r:id="rId3193" xr:uid="{00000000-0004-0000-0200-0000780C0000}"/>
    <hyperlink ref="G2309" r:id="rId3194" xr:uid="{00000000-0004-0000-0200-0000790C0000}"/>
    <hyperlink ref="S2309" r:id="rId3195" xr:uid="{00000000-0004-0000-0200-00007A0C0000}"/>
    <hyperlink ref="F2310" r:id="rId3196" location="ns_campaign=amp-rrss-inducido&amp;ns_mchannel=abc-es&amp;ns_source=tw&amp;ns_linkname=noticia.video&amp;ns_fee=0" xr:uid="{00000000-0004-0000-0200-00007B0C0000}"/>
    <hyperlink ref="S2310" r:id="rId3197" xr:uid="{00000000-0004-0000-0200-00007C0C0000}"/>
    <hyperlink ref="F2311" r:id="rId3198" xr:uid="{00000000-0004-0000-0200-00007D0C0000}"/>
    <hyperlink ref="F2312" r:id="rId3199" xr:uid="{00000000-0004-0000-0200-00007E0C0000}"/>
    <hyperlink ref="S2312" r:id="rId3200" xr:uid="{00000000-0004-0000-0200-00007F0C0000}"/>
    <hyperlink ref="F2313" r:id="rId3201" xr:uid="{00000000-0004-0000-0200-0000800C0000}"/>
    <hyperlink ref="S2313" r:id="rId3202" xr:uid="{00000000-0004-0000-0200-0000810C0000}"/>
    <hyperlink ref="S2314" r:id="rId3203" xr:uid="{00000000-0004-0000-0200-0000820C0000}"/>
    <hyperlink ref="F2315" r:id="rId3204" location="ns_campaign=amp-rrss-inducido&amp;ns_mchannel=abc-es&amp;ns_source=tw&amp;ns_linkname=noticia.video&amp;ns_fee=0" xr:uid="{00000000-0004-0000-0200-0000830C0000}"/>
    <hyperlink ref="S2315" r:id="rId3205" xr:uid="{00000000-0004-0000-0200-0000840C0000}"/>
    <hyperlink ref="F2316" r:id="rId3206" xr:uid="{00000000-0004-0000-0200-0000850C0000}"/>
    <hyperlink ref="S2316" r:id="rId3207" location="!/mercedes.mosquerabango.7?ref=bookmark" xr:uid="{00000000-0004-0000-0200-0000860C0000}"/>
    <hyperlink ref="F2317" r:id="rId3208" xr:uid="{00000000-0004-0000-0200-0000870C0000}"/>
    <hyperlink ref="S2318" r:id="rId3209" xr:uid="{00000000-0004-0000-0200-0000880C0000}"/>
    <hyperlink ref="F2319" r:id="rId3210" xr:uid="{00000000-0004-0000-0200-0000890C0000}"/>
    <hyperlink ref="G2319" r:id="rId3211" xr:uid="{00000000-0004-0000-0200-00008A0C0000}"/>
    <hyperlink ref="F2321" r:id="rId3212" xr:uid="{00000000-0004-0000-0200-00008B0C0000}"/>
    <hyperlink ref="S2321" r:id="rId3213" xr:uid="{00000000-0004-0000-0200-00008C0C0000}"/>
    <hyperlink ref="F2322" r:id="rId3214" xr:uid="{00000000-0004-0000-0200-00008D0C0000}"/>
    <hyperlink ref="F2323" r:id="rId3215" xr:uid="{00000000-0004-0000-0200-00008E0C0000}"/>
    <hyperlink ref="S2323" r:id="rId3216" xr:uid="{00000000-0004-0000-0200-00008F0C0000}"/>
    <hyperlink ref="F2324" r:id="rId3217" xr:uid="{00000000-0004-0000-0200-0000900C0000}"/>
    <hyperlink ref="S2324" r:id="rId3218" xr:uid="{00000000-0004-0000-0200-0000910C0000}"/>
    <hyperlink ref="F2325" r:id="rId3219" location="ns_campaign=rrss-inducido&amp;ns_mchannel=abc-es&amp;ns_source=tw&amp;ns_linkname=noticia-video&amp;ns_fee=0" xr:uid="{00000000-0004-0000-0200-0000920C0000}"/>
    <hyperlink ref="S2325" r:id="rId3220" xr:uid="{00000000-0004-0000-0200-0000930C0000}"/>
    <hyperlink ref="F2326" r:id="rId3221" xr:uid="{00000000-0004-0000-0200-0000940C0000}"/>
    <hyperlink ref="F2327" r:id="rId3222" xr:uid="{00000000-0004-0000-0200-0000950C0000}"/>
    <hyperlink ref="S2327" r:id="rId3223" xr:uid="{00000000-0004-0000-0200-0000960C0000}"/>
    <hyperlink ref="F2328" r:id="rId3224" xr:uid="{00000000-0004-0000-0200-0000970C0000}"/>
    <hyperlink ref="G2328" r:id="rId3225" xr:uid="{00000000-0004-0000-0200-0000980C0000}"/>
    <hyperlink ref="S2328" r:id="rId3226" xr:uid="{00000000-0004-0000-0200-0000990C0000}"/>
    <hyperlink ref="F2329" r:id="rId3227" location="ns_campaign=rrss-inducido&amp;ns_mchannel=abc-es&amp;ns_source=tw&amp;ns_linkname=noticia-video&amp;ns_fee=0" xr:uid="{00000000-0004-0000-0200-00009A0C0000}"/>
    <hyperlink ref="F2330" r:id="rId3228" xr:uid="{00000000-0004-0000-0200-00009B0C0000}"/>
    <hyperlink ref="S2330" r:id="rId3229" location="!/mercedes.mosquerabango.7?ref=bookmark" xr:uid="{00000000-0004-0000-0200-00009C0C0000}"/>
    <hyperlink ref="F2332" r:id="rId3230" xr:uid="{00000000-0004-0000-0200-00009D0C0000}"/>
    <hyperlink ref="S2332" r:id="rId3231" xr:uid="{00000000-0004-0000-0200-00009E0C0000}"/>
    <hyperlink ref="F2335" r:id="rId3232" xr:uid="{00000000-0004-0000-0200-00009F0C0000}"/>
    <hyperlink ref="S2335" r:id="rId3233" xr:uid="{00000000-0004-0000-0200-0000A00C0000}"/>
    <hyperlink ref="F2336" r:id="rId3234" xr:uid="{00000000-0004-0000-0200-0000A10C0000}"/>
    <hyperlink ref="F2337" r:id="rId3235" xr:uid="{00000000-0004-0000-0200-0000A20C0000}"/>
    <hyperlink ref="F2338" r:id="rId3236" xr:uid="{00000000-0004-0000-0200-0000A30C0000}"/>
    <hyperlink ref="F2339" r:id="rId3237" location="ns_campaign=rrss-inducido&amp;ns_mchannel=abc-es&amp;ns_source=tw&amp;ns_linkname=noticia-video&amp;ns_fee=0" xr:uid="{00000000-0004-0000-0200-0000A40C0000}"/>
    <hyperlink ref="S2339" r:id="rId3238" xr:uid="{00000000-0004-0000-0200-0000A50C0000}"/>
    <hyperlink ref="F2340" r:id="rId3239" xr:uid="{00000000-0004-0000-0200-0000A60C0000}"/>
    <hyperlink ref="S2340" r:id="rId3240" xr:uid="{00000000-0004-0000-0200-0000A70C0000}"/>
    <hyperlink ref="F2341" r:id="rId3241" xr:uid="{00000000-0004-0000-0200-0000A80C0000}"/>
    <hyperlink ref="S2341" r:id="rId3242" xr:uid="{00000000-0004-0000-0200-0000A90C0000}"/>
    <hyperlink ref="F2342" r:id="rId3243" location="ns_campaign=rrss-inducido&amp;ns_mchannel=abc-es&amp;ns_source=tw&amp;ns_linkname=noticia-foto&amp;ns_fee=0" xr:uid="{00000000-0004-0000-0200-0000AA0C0000}"/>
    <hyperlink ref="F2344" r:id="rId3244" xr:uid="{00000000-0004-0000-0200-0000AB0C0000}"/>
    <hyperlink ref="S2344" r:id="rId3245" xr:uid="{00000000-0004-0000-0200-0000AC0C0000}"/>
    <hyperlink ref="F2345" r:id="rId3246" xr:uid="{00000000-0004-0000-0200-0000AD0C0000}"/>
    <hyperlink ref="S2345" r:id="rId3247" xr:uid="{00000000-0004-0000-0200-0000AE0C0000}"/>
    <hyperlink ref="F2346" r:id="rId3248" xr:uid="{00000000-0004-0000-0200-0000AF0C0000}"/>
    <hyperlink ref="F2347" r:id="rId3249" xr:uid="{00000000-0004-0000-0200-0000B00C0000}"/>
    <hyperlink ref="G2347" r:id="rId3250" xr:uid="{00000000-0004-0000-0200-0000B10C0000}"/>
    <hyperlink ref="S2347" r:id="rId3251" xr:uid="{00000000-0004-0000-0200-0000B20C0000}"/>
    <hyperlink ref="G2349" r:id="rId3252" xr:uid="{00000000-0004-0000-0200-0000B30C0000}"/>
    <hyperlink ref="F2350" r:id="rId3253" xr:uid="{00000000-0004-0000-0200-0000B40C0000}"/>
    <hyperlink ref="F2351" r:id="rId3254" xr:uid="{00000000-0004-0000-0200-0000B50C0000}"/>
    <hyperlink ref="G2351" r:id="rId3255" xr:uid="{00000000-0004-0000-0200-0000B60C0000}"/>
    <hyperlink ref="S2351" r:id="rId3256" xr:uid="{00000000-0004-0000-0200-0000B70C0000}"/>
    <hyperlink ref="C2352" r:id="rId3257" xr:uid="{00000000-0004-0000-0200-0000B80C0000}"/>
    <hyperlink ref="F2352" r:id="rId3258" xr:uid="{00000000-0004-0000-0200-0000B90C0000}"/>
    <hyperlink ref="G2352" r:id="rId3259" xr:uid="{00000000-0004-0000-0200-0000BA0C0000}"/>
    <hyperlink ref="S2352" r:id="rId3260" xr:uid="{00000000-0004-0000-0200-0000BB0C0000}"/>
    <hyperlink ref="F2353" r:id="rId3261" xr:uid="{00000000-0004-0000-0200-0000BC0C0000}"/>
    <hyperlink ref="F2354" r:id="rId3262" xr:uid="{00000000-0004-0000-0200-0000BD0C0000}"/>
    <hyperlink ref="F2355" r:id="rId3263" xr:uid="{00000000-0004-0000-0200-0000BE0C0000}"/>
    <hyperlink ref="F2356" r:id="rId3264" xr:uid="{00000000-0004-0000-0200-0000BF0C0000}"/>
    <hyperlink ref="S2356" r:id="rId3265" xr:uid="{00000000-0004-0000-0200-0000C00C0000}"/>
    <hyperlink ref="F2357" r:id="rId3266" xr:uid="{00000000-0004-0000-0200-0000C10C0000}"/>
    <hyperlink ref="S2357" r:id="rId3267" xr:uid="{00000000-0004-0000-0200-0000C20C0000}"/>
    <hyperlink ref="F2358" r:id="rId3268" xr:uid="{00000000-0004-0000-0200-0000C30C0000}"/>
    <hyperlink ref="S2358" r:id="rId3269" xr:uid="{00000000-0004-0000-0200-0000C40C0000}"/>
    <hyperlink ref="F2359" r:id="rId3270" xr:uid="{00000000-0004-0000-0200-0000C50C0000}"/>
    <hyperlink ref="F2360" r:id="rId3271" xr:uid="{00000000-0004-0000-0200-0000C60C0000}"/>
    <hyperlink ref="F2363" r:id="rId3272" xr:uid="{00000000-0004-0000-0200-0000C70C0000}"/>
    <hyperlink ref="G2363" r:id="rId3273" xr:uid="{00000000-0004-0000-0200-0000C80C0000}"/>
    <hyperlink ref="S2363" r:id="rId3274" xr:uid="{00000000-0004-0000-0200-0000C90C0000}"/>
    <hyperlink ref="F2364" r:id="rId3275" xr:uid="{00000000-0004-0000-0200-0000CA0C0000}"/>
    <hyperlink ref="F2365" r:id="rId3276" xr:uid="{00000000-0004-0000-0200-0000CB0C0000}"/>
    <hyperlink ref="F2367" r:id="rId3277" xr:uid="{00000000-0004-0000-0200-0000CC0C0000}"/>
    <hyperlink ref="S2367" r:id="rId3278" xr:uid="{00000000-0004-0000-0200-0000CD0C0000}"/>
    <hyperlink ref="F2368" r:id="rId3279" xr:uid="{00000000-0004-0000-0200-0000CE0C0000}"/>
    <hyperlink ref="S2368" r:id="rId3280" xr:uid="{00000000-0004-0000-0200-0000CF0C0000}"/>
    <hyperlink ref="F2369" r:id="rId3281" xr:uid="{00000000-0004-0000-0200-0000D00C0000}"/>
    <hyperlink ref="G2369" r:id="rId3282" xr:uid="{00000000-0004-0000-0200-0000D10C0000}"/>
    <hyperlink ref="S2369" r:id="rId3283" xr:uid="{00000000-0004-0000-0200-0000D20C0000}"/>
    <hyperlink ref="F2370" r:id="rId3284" xr:uid="{00000000-0004-0000-0200-0000D30C0000}"/>
    <hyperlink ref="G2370" r:id="rId3285" xr:uid="{00000000-0004-0000-0200-0000D40C0000}"/>
    <hyperlink ref="S2370" r:id="rId3286" xr:uid="{00000000-0004-0000-0200-0000D50C0000}"/>
    <hyperlink ref="F2371" r:id="rId3287" xr:uid="{00000000-0004-0000-0200-0000D60C0000}"/>
    <hyperlink ref="F2372" r:id="rId3288" xr:uid="{00000000-0004-0000-0200-0000D70C0000}"/>
    <hyperlink ref="F2373" r:id="rId3289" xr:uid="{00000000-0004-0000-0200-0000D80C0000}"/>
    <hyperlink ref="S2373" r:id="rId3290" xr:uid="{00000000-0004-0000-0200-0000D90C0000}"/>
    <hyperlink ref="F2374" r:id="rId3291" xr:uid="{00000000-0004-0000-0200-0000DA0C0000}"/>
    <hyperlink ref="S2374" r:id="rId3292" xr:uid="{00000000-0004-0000-0200-0000DB0C0000}"/>
    <hyperlink ref="F2375" r:id="rId3293" xr:uid="{00000000-0004-0000-0200-0000DC0C0000}"/>
    <hyperlink ref="F2376" r:id="rId3294" xr:uid="{00000000-0004-0000-0200-0000DD0C0000}"/>
    <hyperlink ref="S2376" r:id="rId3295" xr:uid="{00000000-0004-0000-0200-0000DE0C0000}"/>
    <hyperlink ref="F2377" r:id="rId3296" xr:uid="{00000000-0004-0000-0200-0000DF0C0000}"/>
    <hyperlink ref="S2377" r:id="rId3297" xr:uid="{00000000-0004-0000-0200-0000E00C0000}"/>
    <hyperlink ref="F2378" r:id="rId3298" xr:uid="{00000000-0004-0000-0200-0000E10C0000}"/>
    <hyperlink ref="F2379" r:id="rId3299" xr:uid="{00000000-0004-0000-0200-0000E20C0000}"/>
    <hyperlink ref="S2379" r:id="rId3300" xr:uid="{00000000-0004-0000-0200-0000E30C0000}"/>
    <hyperlink ref="F2380" r:id="rId3301" xr:uid="{00000000-0004-0000-0200-0000E40C0000}"/>
    <hyperlink ref="S2380" r:id="rId3302" xr:uid="{00000000-0004-0000-0200-0000E50C0000}"/>
    <hyperlink ref="S2381" r:id="rId3303" xr:uid="{00000000-0004-0000-0200-0000E60C0000}"/>
    <hyperlink ref="S2382" r:id="rId3304" xr:uid="{00000000-0004-0000-0200-0000E70C0000}"/>
    <hyperlink ref="F2384" r:id="rId3305" location="ns_campaign=rrss&amp;ns_mchannel=abc-es&amp;ns_source=fb&amp;ns_linkname=cm-general&amp;ns_fee=0" xr:uid="{00000000-0004-0000-0200-0000E80C0000}"/>
    <hyperlink ref="F2385" r:id="rId3306" xr:uid="{00000000-0004-0000-0200-0000E90C0000}"/>
    <hyperlink ref="F2387" r:id="rId3307" xr:uid="{00000000-0004-0000-0200-0000EA0C0000}"/>
    <hyperlink ref="F2388" r:id="rId3308" xr:uid="{00000000-0004-0000-0200-0000EB0C0000}"/>
    <hyperlink ref="F2389" r:id="rId3309" xr:uid="{00000000-0004-0000-0200-0000EC0C0000}"/>
    <hyperlink ref="F2390" r:id="rId3310" xr:uid="{00000000-0004-0000-0200-0000ED0C0000}"/>
    <hyperlink ref="S2390" r:id="rId3311" xr:uid="{00000000-0004-0000-0200-0000EE0C0000}"/>
    <hyperlink ref="F2391" r:id="rId3312" xr:uid="{00000000-0004-0000-0200-0000EF0C0000}"/>
    <hyperlink ref="G2391" r:id="rId3313" xr:uid="{00000000-0004-0000-0200-0000F00C0000}"/>
    <hyperlink ref="S2391" r:id="rId3314" xr:uid="{00000000-0004-0000-0200-0000F10C0000}"/>
    <hyperlink ref="F2392" r:id="rId3315" xr:uid="{00000000-0004-0000-0200-0000F20C0000}"/>
    <hyperlink ref="S2392" r:id="rId3316" xr:uid="{00000000-0004-0000-0200-0000F30C0000}"/>
    <hyperlink ref="F2393" r:id="rId3317" location="ns_campaign=amp-rrss-inducido&amp;ns_mchannel=abc-es&amp;ns_source=tw&amp;ns_linkname=noticia.video&amp;ns_fee=0" xr:uid="{00000000-0004-0000-0200-0000F40C0000}"/>
    <hyperlink ref="F2394" r:id="rId3318" xr:uid="{00000000-0004-0000-0200-0000F50C0000}"/>
    <hyperlink ref="S2394" r:id="rId3319" xr:uid="{00000000-0004-0000-0200-0000F60C0000}"/>
    <hyperlink ref="G2395" r:id="rId3320" xr:uid="{00000000-0004-0000-0200-0000F70C0000}"/>
    <hyperlink ref="S2395" r:id="rId3321" xr:uid="{00000000-0004-0000-0200-0000F80C0000}"/>
    <hyperlink ref="F2396" r:id="rId3322" xr:uid="{00000000-0004-0000-0200-0000F90C0000}"/>
    <hyperlink ref="G2397" r:id="rId3323" xr:uid="{00000000-0004-0000-0200-0000FA0C0000}"/>
    <hyperlink ref="F2398" r:id="rId3324" xr:uid="{00000000-0004-0000-0200-0000FB0C0000}"/>
    <hyperlink ref="S2398" r:id="rId3325" xr:uid="{00000000-0004-0000-0200-0000FC0C0000}"/>
    <hyperlink ref="F2399" r:id="rId3326" xr:uid="{00000000-0004-0000-0200-0000FD0C0000}"/>
    <hyperlink ref="F2400" r:id="rId3327" xr:uid="{00000000-0004-0000-0200-0000FE0C0000}"/>
    <hyperlink ref="G2401" r:id="rId3328" xr:uid="{00000000-0004-0000-0200-0000FF0C0000}"/>
    <hyperlink ref="S2401" r:id="rId3329" xr:uid="{00000000-0004-0000-0200-0000000D0000}"/>
    <hyperlink ref="F2402" r:id="rId3330" xr:uid="{00000000-0004-0000-0200-0000010D0000}"/>
    <hyperlink ref="G2402" r:id="rId3331" xr:uid="{00000000-0004-0000-0200-0000020D0000}"/>
    <hyperlink ref="S2402" r:id="rId3332" xr:uid="{00000000-0004-0000-0200-0000030D0000}"/>
    <hyperlink ref="F2404" r:id="rId3333" xr:uid="{00000000-0004-0000-0200-0000040D0000}"/>
    <hyperlink ref="F2405" r:id="rId3334" xr:uid="{00000000-0004-0000-0200-0000050D0000}"/>
    <hyperlink ref="S2405" r:id="rId3335" xr:uid="{00000000-0004-0000-0200-0000060D0000}"/>
    <hyperlink ref="G2406" r:id="rId3336" xr:uid="{00000000-0004-0000-0200-0000070D0000}"/>
    <hyperlink ref="F2407" r:id="rId3337" xr:uid="{00000000-0004-0000-0200-0000080D0000}"/>
    <hyperlink ref="G2407" r:id="rId3338" xr:uid="{00000000-0004-0000-0200-0000090D0000}"/>
    <hyperlink ref="S2407" r:id="rId3339" xr:uid="{00000000-0004-0000-0200-00000A0D0000}"/>
    <hyperlink ref="G2408" r:id="rId3340" xr:uid="{00000000-0004-0000-0200-00000B0D0000}"/>
    <hyperlink ref="S2408" r:id="rId3341" xr:uid="{00000000-0004-0000-0200-00000C0D0000}"/>
    <hyperlink ref="F2409" r:id="rId3342" xr:uid="{00000000-0004-0000-0200-00000D0D0000}"/>
    <hyperlink ref="S2409" r:id="rId3343" xr:uid="{00000000-0004-0000-0200-00000E0D0000}"/>
    <hyperlink ref="G2410" r:id="rId3344" xr:uid="{00000000-0004-0000-0200-00000F0D0000}"/>
    <hyperlink ref="F2411" r:id="rId3345" xr:uid="{00000000-0004-0000-0200-0000100D0000}"/>
    <hyperlink ref="F2413" r:id="rId3346" xr:uid="{00000000-0004-0000-0200-0000110D0000}"/>
    <hyperlink ref="F2414" r:id="rId3347" xr:uid="{00000000-0004-0000-0200-0000120D0000}"/>
    <hyperlink ref="S2415" r:id="rId3348" xr:uid="{00000000-0004-0000-0200-0000130D0000}"/>
    <hyperlink ref="F2416" r:id="rId3349" xr:uid="{00000000-0004-0000-0200-0000140D0000}"/>
    <hyperlink ref="G2416" r:id="rId3350" xr:uid="{00000000-0004-0000-0200-0000150D0000}"/>
    <hyperlink ref="S2416" r:id="rId3351" xr:uid="{00000000-0004-0000-0200-0000160D0000}"/>
    <hyperlink ref="F2417" r:id="rId3352" xr:uid="{00000000-0004-0000-0200-0000170D0000}"/>
    <hyperlink ref="S2417" r:id="rId3353" xr:uid="{00000000-0004-0000-0200-0000180D0000}"/>
    <hyperlink ref="F2418" r:id="rId3354" xr:uid="{00000000-0004-0000-0200-0000190D0000}"/>
    <hyperlink ref="S2418" r:id="rId3355" xr:uid="{00000000-0004-0000-0200-00001A0D0000}"/>
    <hyperlink ref="F2421" r:id="rId3356" xr:uid="{00000000-0004-0000-0200-00001B0D0000}"/>
    <hyperlink ref="G2421" r:id="rId3357" xr:uid="{00000000-0004-0000-0200-00001C0D0000}"/>
    <hyperlink ref="S2421" r:id="rId3358" xr:uid="{00000000-0004-0000-0200-00001D0D0000}"/>
    <hyperlink ref="F2422" r:id="rId3359" xr:uid="{00000000-0004-0000-0200-00001E0D0000}"/>
    <hyperlink ref="G2422" r:id="rId3360" xr:uid="{00000000-0004-0000-0200-00001F0D0000}"/>
    <hyperlink ref="S2422" r:id="rId3361" xr:uid="{00000000-0004-0000-0200-0000200D0000}"/>
    <hyperlink ref="F2423" r:id="rId3362" xr:uid="{00000000-0004-0000-0200-0000210D0000}"/>
    <hyperlink ref="G2423" r:id="rId3363" xr:uid="{00000000-0004-0000-0200-0000220D0000}"/>
    <hyperlink ref="S2423" r:id="rId3364" xr:uid="{00000000-0004-0000-0200-0000230D0000}"/>
    <hyperlink ref="F2424" r:id="rId3365" xr:uid="{00000000-0004-0000-0200-0000240D0000}"/>
    <hyperlink ref="S2424" r:id="rId3366" xr:uid="{00000000-0004-0000-0200-0000250D0000}"/>
    <hyperlink ref="F2425" r:id="rId3367" xr:uid="{00000000-0004-0000-0200-0000260D0000}"/>
    <hyperlink ref="G2425" r:id="rId3368" xr:uid="{00000000-0004-0000-0200-0000270D0000}"/>
    <hyperlink ref="S2425" r:id="rId3369" xr:uid="{00000000-0004-0000-0200-0000280D0000}"/>
    <hyperlink ref="F2426" r:id="rId3370" xr:uid="{00000000-0004-0000-0200-0000290D0000}"/>
    <hyperlink ref="F2427" r:id="rId3371" xr:uid="{00000000-0004-0000-0200-00002A0D0000}"/>
    <hyperlink ref="F2428" r:id="rId3372" xr:uid="{00000000-0004-0000-0200-00002B0D0000}"/>
    <hyperlink ref="S2428" r:id="rId3373" xr:uid="{00000000-0004-0000-0200-00002C0D0000}"/>
    <hyperlink ref="G2429" r:id="rId3374" xr:uid="{00000000-0004-0000-0200-00002D0D0000}"/>
    <hyperlink ref="S2429" r:id="rId3375" xr:uid="{00000000-0004-0000-0200-00002E0D0000}"/>
    <hyperlink ref="F2430" r:id="rId3376" xr:uid="{00000000-0004-0000-0200-00002F0D0000}"/>
    <hyperlink ref="G2430" r:id="rId3377" xr:uid="{00000000-0004-0000-0200-0000300D0000}"/>
    <hyperlink ref="S2430" r:id="rId3378" xr:uid="{00000000-0004-0000-0200-0000310D0000}"/>
    <hyperlink ref="F2432" r:id="rId3379" xr:uid="{00000000-0004-0000-0200-0000320D0000}"/>
    <hyperlink ref="S2432" r:id="rId3380" xr:uid="{00000000-0004-0000-0200-0000330D0000}"/>
    <hyperlink ref="F2433" r:id="rId3381" xr:uid="{00000000-0004-0000-0200-0000340D0000}"/>
    <hyperlink ref="F2434" r:id="rId3382" xr:uid="{00000000-0004-0000-0200-0000350D0000}"/>
    <hyperlink ref="F2436" r:id="rId3383" xr:uid="{00000000-0004-0000-0200-0000360D0000}"/>
    <hyperlink ref="F2438" r:id="rId3384" xr:uid="{00000000-0004-0000-0200-0000370D0000}"/>
    <hyperlink ref="G2438" r:id="rId3385" xr:uid="{00000000-0004-0000-0200-0000380D0000}"/>
    <hyperlink ref="F2439" r:id="rId3386" location=".XAkdFgbq8g8.twitter" xr:uid="{00000000-0004-0000-0200-0000390D0000}"/>
    <hyperlink ref="S2439" r:id="rId3387" xr:uid="{00000000-0004-0000-0200-00003A0D0000}"/>
    <hyperlink ref="F2443" r:id="rId3388" xr:uid="{00000000-0004-0000-0200-00003B0D0000}"/>
    <hyperlink ref="F2444" r:id="rId3389" xr:uid="{00000000-0004-0000-0200-00003C0D0000}"/>
    <hyperlink ref="G2444" r:id="rId3390" xr:uid="{00000000-0004-0000-0200-00003D0D0000}"/>
    <hyperlink ref="S2444" r:id="rId3391" xr:uid="{00000000-0004-0000-0200-00003E0D0000}"/>
    <hyperlink ref="F2446" r:id="rId3392" xr:uid="{00000000-0004-0000-0200-00003F0D0000}"/>
    <hyperlink ref="F2448" r:id="rId3393" xr:uid="{00000000-0004-0000-0200-0000400D0000}"/>
    <hyperlink ref="G2448" r:id="rId3394" xr:uid="{00000000-0004-0000-0200-0000410D0000}"/>
    <hyperlink ref="F2449" r:id="rId3395" xr:uid="{00000000-0004-0000-0200-0000420D0000}"/>
    <hyperlink ref="F2450" r:id="rId3396" xr:uid="{00000000-0004-0000-0200-0000430D0000}"/>
    <hyperlink ref="G2450" r:id="rId3397" xr:uid="{00000000-0004-0000-0200-0000440D0000}"/>
    <hyperlink ref="S2450" r:id="rId3398" xr:uid="{00000000-0004-0000-0200-0000450D0000}"/>
    <hyperlink ref="F2451" r:id="rId3399" xr:uid="{00000000-0004-0000-0200-0000460D0000}"/>
    <hyperlink ref="S2452" r:id="rId3400" xr:uid="{00000000-0004-0000-0200-0000470D0000}"/>
    <hyperlink ref="F2453" r:id="rId3401" xr:uid="{00000000-0004-0000-0200-0000480D0000}"/>
    <hyperlink ref="F2454" r:id="rId3402" xr:uid="{00000000-0004-0000-0200-0000490D0000}"/>
    <hyperlink ref="S2454" r:id="rId3403" xr:uid="{00000000-0004-0000-0200-00004A0D0000}"/>
    <hyperlink ref="F2455" r:id="rId3404" xr:uid="{00000000-0004-0000-0200-00004B0D0000}"/>
    <hyperlink ref="S2455" r:id="rId3405" xr:uid="{00000000-0004-0000-0200-00004C0D0000}"/>
    <hyperlink ref="S2456" r:id="rId3406" xr:uid="{00000000-0004-0000-0200-00004D0D0000}"/>
    <hyperlink ref="F2457" r:id="rId3407" xr:uid="{00000000-0004-0000-0200-00004E0D0000}"/>
    <hyperlink ref="F2458" r:id="rId3408" xr:uid="{00000000-0004-0000-0200-00004F0D0000}"/>
    <hyperlink ref="F2459" r:id="rId3409" xr:uid="{00000000-0004-0000-0200-0000500D0000}"/>
    <hyperlink ref="S2459" r:id="rId3410" xr:uid="{00000000-0004-0000-0200-0000510D0000}"/>
    <hyperlink ref="F2460" r:id="rId3411" xr:uid="{00000000-0004-0000-0200-0000520D0000}"/>
    <hyperlink ref="G2460" r:id="rId3412" xr:uid="{00000000-0004-0000-0200-0000530D0000}"/>
    <hyperlink ref="F2461" r:id="rId3413" xr:uid="{00000000-0004-0000-0200-0000540D0000}"/>
    <hyperlink ref="S2461" r:id="rId3414" xr:uid="{00000000-0004-0000-0200-0000550D0000}"/>
    <hyperlink ref="F2463" r:id="rId3415" xr:uid="{00000000-0004-0000-0200-0000560D0000}"/>
    <hyperlink ref="F2465" r:id="rId3416" xr:uid="{00000000-0004-0000-0200-0000570D0000}"/>
    <hyperlink ref="F2466" r:id="rId3417" xr:uid="{00000000-0004-0000-0200-0000580D0000}"/>
    <hyperlink ref="G2466" r:id="rId3418" xr:uid="{00000000-0004-0000-0200-0000590D0000}"/>
    <hyperlink ref="F2467" r:id="rId3419" xr:uid="{00000000-0004-0000-0200-00005A0D0000}"/>
    <hyperlink ref="S2468" r:id="rId3420" xr:uid="{00000000-0004-0000-0200-00005B0D0000}"/>
    <hyperlink ref="F2469" r:id="rId3421" xr:uid="{00000000-0004-0000-0200-00005C0D0000}"/>
    <hyperlink ref="S2469" r:id="rId3422" xr:uid="{00000000-0004-0000-0200-00005D0D0000}"/>
    <hyperlink ref="F2470" r:id="rId3423" xr:uid="{00000000-0004-0000-0200-00005E0D0000}"/>
    <hyperlink ref="G2470" r:id="rId3424" xr:uid="{00000000-0004-0000-0200-00005F0D0000}"/>
    <hyperlink ref="S2470" r:id="rId3425" xr:uid="{00000000-0004-0000-0200-0000600D0000}"/>
    <hyperlink ref="F2472" r:id="rId3426" xr:uid="{00000000-0004-0000-0200-0000610D0000}"/>
    <hyperlink ref="S2472" r:id="rId3427" xr:uid="{00000000-0004-0000-0200-0000620D0000}"/>
    <hyperlink ref="F2473" r:id="rId3428" xr:uid="{00000000-0004-0000-0200-0000630D0000}"/>
    <hyperlink ref="F2474" r:id="rId3429" xr:uid="{00000000-0004-0000-0200-0000640D0000}"/>
    <hyperlink ref="G2474" r:id="rId3430" xr:uid="{00000000-0004-0000-0200-0000650D0000}"/>
    <hyperlink ref="F2475" r:id="rId3431" location="ns_campaign=rrss-inducido&amp;ns_mchannel=abc-es&amp;ns_source=tw&amp;ns_linkname=noticia-foto&amp;ns_fee=0" xr:uid="{00000000-0004-0000-0200-0000660D0000}"/>
    <hyperlink ref="S2475" r:id="rId3432" xr:uid="{00000000-0004-0000-0200-0000670D0000}"/>
    <hyperlink ref="F2476" r:id="rId3433" xr:uid="{00000000-0004-0000-0200-0000680D0000}"/>
    <hyperlink ref="F2477" r:id="rId3434" xr:uid="{00000000-0004-0000-0200-0000690D0000}"/>
    <hyperlink ref="S2477" r:id="rId3435" xr:uid="{00000000-0004-0000-0200-00006A0D0000}"/>
    <hyperlink ref="F2478" r:id="rId3436" xr:uid="{00000000-0004-0000-0200-00006B0D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Pedro Sanchez langes -filterret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2018-12-10T18:17:30Z</dcterms:modified>
</cp:coreProperties>
</file>